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 name="19"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'06'!$A$1:$S$119</definedName>
    <definedName name="_xlnm.Print_Area" localSheetId="22">'07'!$A$1:$T$122</definedName>
    <definedName name="_xlnm.Print_Area" localSheetId="23">'11'!$A$1:$U$36</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 localSheetId="25">#REF!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3.xml><?xml version="1.0" encoding="utf-8"?>
<comments xmlns="http://schemas.openxmlformats.org/spreadsheetml/2006/main">
  <authors>
    <author>IT DAK LAK</author>
  </authors>
  <commentList>
    <comment ref="C110" authorId="0">
      <text>
        <r>
          <rPr>
            <b/>
            <sz val="8"/>
            <rFont val="Tahoma"/>
            <family val="2"/>
          </rPr>
          <t>IT DAK LAK:</t>
        </r>
        <r>
          <rPr>
            <sz val="8"/>
            <rFont val="Tahoma"/>
            <family val="2"/>
          </rPr>
          <t xml:space="preserve">
</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<sst xmlns="http://schemas.openxmlformats.org/spreadsheetml/2006/main" count="3481" uniqueCount="859">
  <si>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</si>
  <si>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</si>
  <si>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</si>
  <si>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</si>
  <si>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</si>
  <si>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</si>
  <si>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</si>
  <si>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</si>
  <si>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</si>
  <si>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</si>
  <si>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</si>
  <si>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</si>
  <si>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</si>
  <si>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</si>
  <si>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</si>
  <si>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</si>
  <si>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</si>
  <si>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</si>
  <si>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</si>
  <si>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</si>
  <si>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</si>
  <si>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</si>
  <si>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</si>
  <si>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</si>
  <si>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</si>
  <si>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</si>
  <si>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</si>
  <si>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</si>
  <si>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</si>
  <si>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</si>
  <si>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</si>
  <si>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</si>
  <si>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</si>
  <si>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</si>
  <si>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</si>
  <si>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</si>
  <si>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</si>
  <si>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</si>
  <si>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</si>
  <si>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</si>
  <si>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</si>
  <si>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</si>
  <si>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</si>
  <si>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</si>
  <si>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</si>
  <si>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</si>
  <si>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</si>
  <si>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</si>
  <si>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</si>
  <si>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</si>
  <si>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</si>
  <si>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</si>
  <si>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</si>
  <si>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</si>
  <si>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</si>
  <si>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</si>
  <si>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</si>
  <si>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</si>
  <si>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</si>
  <si>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</si>
  <si>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</si>
  <si>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</si>
  <si>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</si>
  <si>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</si>
  <si>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</si>
  <si>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</si>
  <si>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</si>
  <si>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</si>
  <si>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</si>
  <si>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</si>
  <si>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</si>
  <si>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</si>
  <si>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</si>
  <si>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</si>
  <si>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</si>
  <si>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</si>
  <si>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</si>
  <si>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</si>
  <si>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</si>
  <si>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</si>
  <si>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</si>
  <si>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</si>
  <si>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</si>
  <si>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</si>
  <si>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</si>
  <si>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</si>
  <si>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</si>
  <si>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</si>
  <si>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</si>
  <si>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</si>
  <si>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</si>
  <si>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</si>
  <si>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</si>
  <si>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</si>
  <si>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</si>
  <si>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</si>
  <si>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</si>
  <si>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</si>
  <si>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</si>
  <si>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</si>
  <si>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</si>
  <si>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</si>
  <si>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</si>
  <si>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</si>
  <si>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</si>
  <si>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</si>
  <si>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</si>
  <si>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</si>
  <si>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</si>
  <si>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</si>
  <si>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</si>
  <si>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</si>
  <si>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</si>
  <si>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</si>
  <si>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</si>
  <si>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</si>
  <si>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</si>
  <si>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</si>
  <si>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</si>
  <si>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</si>
  <si>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</si>
  <si>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</si>
  <si>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</si>
  <si>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</si>
  <si>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</si>
  <si>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</si>
  <si>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</si>
  <si>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</si>
  <si>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</si>
  <si>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</si>
  <si>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</si>
  <si>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</si>
  <si>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</si>
  <si>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</si>
  <si>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</si>
  <si>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</si>
  <si>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</si>
  <si>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</si>
  <si>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</si>
  <si>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</si>
  <si>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</si>
  <si>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</si>
  <si>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</si>
  <si>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</si>
  <si>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</si>
  <si>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</si>
  <si>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</si>
  <si>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</si>
  <si>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</si>
  <si>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</si>
  <si>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</si>
  <si>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</si>
  <si>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</si>
  <si>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</si>
  <si>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</si>
  <si>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</si>
  <si>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</si>
  <si>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</si>
  <si>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</si>
  <si>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</si>
  <si>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</si>
  <si>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</si>
  <si>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</si>
  <si>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</si>
  <si>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</si>
  <si>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</si>
  <si>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</si>
  <si>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</si>
  <si>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</si>
  <si>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</si>
  <si>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</si>
  <si>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</si>
  <si>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</si>
  <si>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</si>
  <si>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</si>
  <si>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</si>
  <si>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</si>
  <si>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</si>
  <si>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</si>
  <si>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</si>
  <si>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</si>
  <si>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</si>
  <si>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</si>
  <si>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</si>
  <si>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</si>
  <si>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</si>
  <si>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</si>
  <si>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</si>
  <si>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</si>
  <si>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</si>
  <si>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</si>
  <si>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</si>
  <si>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</si>
  <si>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</si>
  <si>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</si>
  <si>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</si>
  <si>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</si>
  <si>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</si>
  <si>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</si>
  <si>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</si>
  <si>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</si>
  <si>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</si>
  <si>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</si>
  <si>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</si>
  <si>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</si>
  <si>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</si>
  <si>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</si>
  <si>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</si>
  <si>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</si>
  <si>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</si>
  <si>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</si>
  <si>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</si>
  <si>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</si>
  <si>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</si>
  <si>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</si>
  <si>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</si>
  <si>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</si>
  <si>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</si>
  <si>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</si>
  <si>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</si>
  <si>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</si>
  <si>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</si>
  <si>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</si>
  <si>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</si>
  <si>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</si>
  <si>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</si>
  <si>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</si>
  <si>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</si>
  <si>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</si>
  <si>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</si>
  <si>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</si>
  <si>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</si>
  <si>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</si>
  <si>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</si>
  <si>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</si>
  <si>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</si>
  <si>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</si>
  <si>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</si>
  <si>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</si>
  <si>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</si>
  <si>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</si>
  <si>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</si>
  <si>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</si>
  <si>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</si>
  <si>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</si>
  <si>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</si>
  <si>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</si>
  <si>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</si>
  <si>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</si>
  <si>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</si>
  <si>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</si>
  <si>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</si>
  <si>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</si>
  <si>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</si>
  <si>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</si>
  <si>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</si>
  <si>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</si>
  <si>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</si>
  <si>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</si>
  <si>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</si>
  <si>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</si>
  <si>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</si>
  <si>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</si>
  <si>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</si>
  <si>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</si>
  <si>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</si>
  <si>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</si>
  <si>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</si>
  <si>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</si>
  <si>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</si>
  <si>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</si>
  <si>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</si>
  <si>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</si>
  <si>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</si>
  <si>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</si>
  <si>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</si>
  <si>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</si>
  <si>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</si>
  <si>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</si>
  <si>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</si>
  <si>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</si>
  <si>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</si>
  <si>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</si>
  <si>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</si>
  <si>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</si>
  <si>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</si>
  <si>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</si>
  <si>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</si>
  <si>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</si>
  <si>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</si>
  <si>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</si>
  <si>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</si>
  <si>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</si>
  <si>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</si>
  <si>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</si>
  <si>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</si>
  <si>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</si>
  <si>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</si>
  <si>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</si>
  <si>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</si>
  <si>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</si>
  <si>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</si>
  <si>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</si>
  <si>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</si>
  <si>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</si>
  <si>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</si>
  <si>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</si>
  <si>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</si>
  <si>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</si>
  <si>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</si>
  <si>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</si>
  <si>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</si>
  <si>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</si>
  <si>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</si>
  <si>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</si>
  <si>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</si>
  <si>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</si>
  <si>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</si>
  <si>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</si>
  <si>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</si>
  <si>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</si>
  <si>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</si>
  <si>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</si>
  <si>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</si>
  <si>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</si>
  <si>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</si>
  <si>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</si>
  <si>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</si>
  <si>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</si>
  <si>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</si>
  <si>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</si>
  <si>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</si>
  <si>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</si>
  <si>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</si>
  <si>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</si>
  <si>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</si>
  <si>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</si>
  <si>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</si>
  <si>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</si>
  <si>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</si>
  <si>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</si>
  <si>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</si>
  <si>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</si>
  <si>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</si>
  <si>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</si>
  <si>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</si>
  <si>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</si>
  <si>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</si>
  <si>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</si>
  <si>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</si>
  <si>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</si>
  <si>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</si>
  <si>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</si>
  <si>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</si>
  <si>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</si>
  <si>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</si>
  <si>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</si>
  <si>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</si>
  <si>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</si>
  <si>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</si>
  <si>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</si>
  <si>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</si>
  <si>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</si>
  <si>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</si>
  <si>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</si>
  <si>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</si>
  <si>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</si>
  <si>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</si>
  <si>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</si>
  <si>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</si>
  <si>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</si>
  <si>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</si>
  <si>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</si>
  <si>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</si>
  <si>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</si>
  <si>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</si>
  <si>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</si>
  <si>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</si>
  <si>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</si>
  <si>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</si>
  <si>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</si>
  <si>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</si>
  <si>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</si>
  <si>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</si>
  <si>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</si>
  <si>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</si>
  <si>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</si>
  <si>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</si>
  <si>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</si>
  <si>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</si>
  <si>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</si>
  <si>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</si>
  <si>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</si>
  <si>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</si>
  <si>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</si>
  <si>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</si>
  <si>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</si>
  <si>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</si>
  <si>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</si>
  <si>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</si>
  <si>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</si>
  <si>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</si>
  <si>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</si>
  <si>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</si>
  <si>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</si>
  <si>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</si>
  <si>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</si>
  <si>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</si>
  <si>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</si>
  <si>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</si>
  <si>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</si>
  <si>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</si>
  <si>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</si>
  <si>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</si>
  <si>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</si>
  <si>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</si>
  <si>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</si>
  <si>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</si>
  <si>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</si>
  <si>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</si>
  <si>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</si>
  <si>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</si>
  <si>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</si>
  <si>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</si>
  <si>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</si>
  <si>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</si>
  <si>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</si>
  <si>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</si>
  <si>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</si>
  <si>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</si>
  <si>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</si>
  <si>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</si>
  <si>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</si>
  <si>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</si>
  <si>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</si>
  <si>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</si>
  <si>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</si>
  <si>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</si>
  <si>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</si>
  <si>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</si>
  <si>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</si>
  <si>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</si>
  <si>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</si>
  <si>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</si>
  <si>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</si>
  <si>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</si>
  <si>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</si>
  <si>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</si>
  <si>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</si>
  <si>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</si>
  <si>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</si>
  <si>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</si>
  <si>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</si>
  <si>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</si>
  <si>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</si>
  <si>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</si>
  <si>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</si>
  <si>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</si>
  <si>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</si>
  <si>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</si>
  <si>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</si>
  <si>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</si>
  <si>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</si>
  <si>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</si>
  <si>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</si>
  <si>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</si>
  <si>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</si>
  <si>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</si>
  <si>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</si>
  <si>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</si>
  <si>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</si>
  <si>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</si>
  <si>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</si>
  <si>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</si>
  <si>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</si>
  <si>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</si>
  <si>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</si>
  <si>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</si>
  <si>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</si>
  <si>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</si>
  <si>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</si>
  <si>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</si>
  <si>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</si>
  <si>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</si>
  <si>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</si>
  <si>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</si>
  <si>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</si>
  <si>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</si>
  <si>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</si>
  <si>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</si>
  <si>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</si>
  <si>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</si>
  <si>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</si>
  <si>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</si>
  <si>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</si>
  <si>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</si>
  <si>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</si>
  <si>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</si>
  <si>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</si>
  <si>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</si>
  <si>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</si>
  <si>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</si>
  <si>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</si>
  <si>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</si>
  <si>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</si>
  <si>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</si>
  <si>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</si>
  <si>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</si>
  <si>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</si>
  <si>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</si>
  <si>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</si>
  <si>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</si>
  <si>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</si>
  <si>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</si>
  <si>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</si>
  <si>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</si>
  <si>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</si>
  <si>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</si>
  <si>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</si>
  <si>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</si>
  <si>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</si>
  <si>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</si>
  <si>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</si>
  <si>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</si>
  <si>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</si>
  <si>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</si>
  <si>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</si>
  <si>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</si>
  <si>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</si>
  <si>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</si>
  <si>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</si>
  <si>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</si>
  <si>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</si>
  <si>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</si>
  <si>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</si>
  <si>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</si>
  <si>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</si>
  <si>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</si>
  <si>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</si>
  <si>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</si>
  <si>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</si>
  <si>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</si>
  <si>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</si>
  <si>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</si>
  <si>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</si>
  <si>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</si>
  <si>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</si>
  <si>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</si>
  <si>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</si>
  <si>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</si>
  <si>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</si>
  <si>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</si>
  <si>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</si>
  <si>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</si>
  <si>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</si>
  <si>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</si>
  <si>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</si>
  <si>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</si>
  <si>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</si>
  <si>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</si>
  <si>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</si>
  <si>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</si>
  <si>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</si>
  <si>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</si>
  <si>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</si>
  <si>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</si>
  <si>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</si>
  <si>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</si>
  <si>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</si>
  <si>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</si>
  <si>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</si>
  <si>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</si>
  <si>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</si>
  <si>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</si>
  <si>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</si>
  <si>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</si>
  <si>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</si>
  <si>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</si>
  <si>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</si>
  <si>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</si>
  <si>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</si>
  <si>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</si>
  <si>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</si>
  <si>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</si>
  <si>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</si>
  <si>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</si>
  <si>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</si>
  <si>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</si>
  <si>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</si>
  <si>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</si>
  <si>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</si>
  <si>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</si>
  <si>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</si>
  <si>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</si>
  <si>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</si>
  <si>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</si>
  <si>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</si>
  <si>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</si>
  <si>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</si>
  <si>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</si>
  <si>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</si>
  <si>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</si>
  <si>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</si>
  <si>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</si>
  <si>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</si>
  <si>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</si>
  <si>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</si>
  <si>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</si>
  <si>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</si>
  <si>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</si>
  <si>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</si>
  <si>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</si>
  <si>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</si>
  <si>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</si>
  <si>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</si>
  <si>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</si>
  <si>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</si>
  <si>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</si>
  <si>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</si>
  <si>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</si>
  <si>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</si>
  <si>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</si>
  <si>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</si>
  <si>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</si>
  <si>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</si>
  <si>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</si>
  <si>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</si>
  <si>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</si>
  <si>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</si>
  <si>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</si>
  <si>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</si>
  <si>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</si>
  <si>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</si>
  <si>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</si>
  <si>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</si>
  <si>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</si>
  <si>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</si>
  <si>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</si>
  <si>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</si>
  <si>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</si>
  <si>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</si>
  <si>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</si>
  <si>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</si>
  <si>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</si>
  <si>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</si>
  <si>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</si>
  <si>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</si>
  <si>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</si>
  <si>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</si>
  <si>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</si>
  <si>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</si>
  <si>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</si>
  <si>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</si>
  <si>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</si>
  <si>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Đơn vị báo cáo:</t>
  </si>
  <si>
    <t>Biểu số: 11/TK-THA</t>
  </si>
  <si>
    <t>Biểu số: 12/TK-THA</t>
  </si>
  <si>
    <t xml:space="preserve"> Ngày nhận báo cáo:………………...…</t>
  </si>
  <si>
    <t>Nguyễn Thị Mai Hoa</t>
  </si>
  <si>
    <t>0</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</si>
  <si>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</si>
  <si>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</si>
  <si>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</si>
  <si>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</si>
  <si>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</si>
  <si>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</si>
  <si>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</si>
  <si>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</si>
  <si>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</si>
  <si>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</si>
  <si>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</si>
  <si>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</si>
  <si>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</si>
  <si>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</si>
  <si>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</si>
  <si>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</si>
  <si>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</si>
  <si>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</si>
  <si>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</si>
  <si>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</si>
  <si>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</si>
  <si>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</si>
  <si>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</si>
  <si>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</si>
  <si>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</si>
  <si>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</si>
  <si>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</si>
  <si>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</si>
  <si>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</si>
  <si>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</si>
  <si>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</si>
  <si>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</si>
  <si>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</si>
  <si>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</si>
  <si>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</si>
  <si>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</si>
  <si>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</si>
  <si>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</si>
  <si>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</si>
  <si>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</si>
  <si>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</si>
  <si>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</si>
  <si>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</si>
  <si>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</si>
  <si>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</si>
  <si>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</si>
  <si>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 xml:space="preserve"> Nguyễn Văn Lai</t>
  </si>
  <si>
    <t>Ng.Thị Ph.Thảo</t>
  </si>
  <si>
    <t>Trịnh Quang Khánh</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</si>
  <si>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</si>
  <si>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</si>
  <si>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</si>
  <si>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</si>
  <si>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</si>
  <si>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</si>
  <si>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</si>
  <si>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</si>
  <si>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</si>
  <si>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</si>
  <si>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</si>
  <si>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</si>
  <si>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</si>
  <si>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</si>
  <si>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</si>
  <si>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</si>
  <si>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</si>
  <si>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</si>
  <si>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</si>
  <si>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</si>
  <si>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</si>
  <si>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</si>
  <si>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</si>
  <si>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</si>
  <si>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</si>
  <si>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 xml:space="preserve"> H.Cát Hải</t>
  </si>
  <si>
    <t>11.1</t>
  </si>
  <si>
    <t>Nguyễn Tiến Dược</t>
  </si>
  <si>
    <t>11.2</t>
  </si>
  <si>
    <t xml:space="preserve"> Hồ Anh Văn</t>
  </si>
  <si>
    <t xml:space="preserve"> H.Tiên Lãng</t>
  </si>
  <si>
    <t xml:space="preserve"> Lê Văn Diên</t>
  </si>
  <si>
    <t xml:space="preserve"> H.Thủy Nguyên</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</si>
  <si>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</si>
  <si>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</si>
  <si>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</si>
  <si>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</si>
  <si>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</si>
  <si>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</si>
  <si>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</si>
  <si>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</si>
  <si>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</si>
  <si>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</si>
  <si>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</si>
  <si>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</si>
  <si>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</si>
  <si>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</si>
  <si>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</si>
  <si>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</si>
  <si>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CụcTHADSTP Hải Phòng</t>
  </si>
  <si>
    <t>Chi cục THDS H.An Dương</t>
  </si>
  <si>
    <t>Chi cục THADS H.An Lão</t>
  </si>
  <si>
    <t>Chi cục THADS Q.Đồ Sơn</t>
  </si>
  <si>
    <t>Chi cục THADS H.Bạch Long Vĩ</t>
  </si>
  <si>
    <t>Chi cục THADS Q.Lê Chân</t>
  </si>
  <si>
    <t>Chi cục THADS Q.Hải An</t>
  </si>
  <si>
    <t>Chi cục THADS Q.Hồng Bàng</t>
  </si>
  <si>
    <t>Chi cục THADS Q.Kiến An</t>
  </si>
  <si>
    <t>Chi cục THADS H.Kiến Thụy</t>
  </si>
  <si>
    <t>Chi cục THADS Q.Ngô Quyền</t>
  </si>
  <si>
    <t>Chi cục THADS H.Cát Hải</t>
  </si>
  <si>
    <t>Chi cục THADS H.Tiên Lãng</t>
  </si>
  <si>
    <t>Chi cục THADS H.Thủy Nguyên</t>
  </si>
  <si>
    <t>Chi cục THADS H.Vĩnh Bảo</t>
  </si>
  <si>
    <t>Chi cục THADS Q.Dương Kinh</t>
  </si>
  <si>
    <t>Trần Thị Minh</t>
  </si>
  <si>
    <r>
      <t xml:space="preserve">CTHADS </t>
    </r>
    <r>
      <rPr>
        <sz val="12"/>
        <color indexed="10"/>
        <rFont val="Times New Roman"/>
        <family val="1"/>
      </rPr>
      <t>Hải Phòng</t>
    </r>
  </si>
  <si>
    <t xml:space="preserve">
PHÓ CỤC TRƯỞNG</t>
  </si>
  <si>
    <t>Bùi Đức Tiến</t>
  </si>
  <si>
    <t>Đỗ Khắc Oanh</t>
  </si>
  <si>
    <t>Đỗ Thị Thanh Thủy</t>
  </si>
  <si>
    <t>Nguyễn Trí Thành</t>
  </si>
  <si>
    <t>Bùi Mạnh Hùng</t>
  </si>
  <si>
    <t>Phạm Thị Thu Hiền</t>
  </si>
  <si>
    <t>Hoàng Vân Anh</t>
  </si>
  <si>
    <t>8.3</t>
  </si>
  <si>
    <t xml:space="preserve"> Bùi Văn Châu</t>
  </si>
  <si>
    <t xml:space="preserve"> Tạ Văn Quảng</t>
  </si>
  <si>
    <t xml:space="preserve"> Nguyễn Thị Xuân Hoa</t>
  </si>
  <si>
    <t xml:space="preserve"> Hoàng Trọng Hiếu</t>
  </si>
  <si>
    <t>13.11</t>
  </si>
  <si>
    <t>Tô Anh Dũng</t>
  </si>
  <si>
    <t>Lương Thanh Thủy</t>
  </si>
  <si>
    <t>Phạm Văn Phúc</t>
  </si>
  <si>
    <t>Q. Hồng Bàng</t>
  </si>
  <si>
    <t>10.2</t>
  </si>
  <si>
    <t>Lê Thị Tuyết Thanh</t>
  </si>
  <si>
    <t>Nguyễn Thanh Hải</t>
  </si>
  <si>
    <t>Nguyễn T Diệp Anh</t>
  </si>
  <si>
    <t>Lê Văn Thụy</t>
  </si>
  <si>
    <t>Hoàng Tiến Dũng</t>
  </si>
  <si>
    <t>Nguyễn Văn Lai</t>
  </si>
  <si>
    <t>Nguyễn T.P Thảo</t>
  </si>
  <si>
    <t>Nguyễn Văn Thảnh</t>
  </si>
  <si>
    <t>Phạm Thế Toàn</t>
  </si>
  <si>
    <t>Lê Văn Diên</t>
  </si>
  <si>
    <t>Lê Viết Thắng</t>
  </si>
  <si>
    <t>Nguyễn Thị Thủy</t>
  </si>
  <si>
    <t>TỐ CÁO VÀ GIẢI QUYẾT TỐ CÁO 
TRONG THI HÀNH ÁN DÂN SỰ</t>
  </si>
  <si>
    <t>chú quang</t>
  </si>
  <si>
    <t>1.18</t>
  </si>
  <si>
    <t>1.19</t>
  </si>
  <si>
    <t>Trần Công Chu</t>
  </si>
  <si>
    <t>Nguyễn Phi Hùng</t>
  </si>
  <si>
    <t>Nguyễn Thị Hồng</t>
  </si>
  <si>
    <t>6.1</t>
  </si>
  <si>
    <t>6.2</t>
  </si>
  <si>
    <t>6.3</t>
  </si>
  <si>
    <t>6.4</t>
  </si>
  <si>
    <t>6.5</t>
  </si>
  <si>
    <t>7.1</t>
  </si>
  <si>
    <t>7.2</t>
  </si>
  <si>
    <t>7.3</t>
  </si>
  <si>
    <t>7.4</t>
  </si>
  <si>
    <t>7.5</t>
  </si>
  <si>
    <t>7.6</t>
  </si>
  <si>
    <t>7.7</t>
  </si>
  <si>
    <t>Lê Đắc Phổ</t>
  </si>
  <si>
    <t>7.8</t>
  </si>
  <si>
    <t>Mai Trung Nghĩa</t>
  </si>
  <si>
    <t>Kiều T. Hạnh Nguyên</t>
  </si>
  <si>
    <t>Đoàn Thị Minh Châu</t>
  </si>
  <si>
    <t>11.3</t>
  </si>
  <si>
    <t>Bùi Thị Thu Hà</t>
  </si>
  <si>
    <t xml:space="preserve"> Lê Viết Thắng</t>
  </si>
  <si>
    <t xml:space="preserve"> Nguyễn Thế Mạnh</t>
  </si>
  <si>
    <t xml:space="preserve"> Đỗ Văn Hoàng</t>
  </si>
  <si>
    <t>Đinh Thị Quyên</t>
  </si>
  <si>
    <t xml:space="preserve"> Phùng Ngọc Huy</t>
  </si>
  <si>
    <t>59</t>
  </si>
  <si>
    <t>33</t>
  </si>
  <si>
    <t>39</t>
  </si>
  <si>
    <t>87</t>
  </si>
  <si>
    <t>63</t>
  </si>
  <si>
    <t>48</t>
  </si>
  <si>
    <t>70</t>
  </si>
  <si>
    <t>14.3</t>
  </si>
  <si>
    <t>Lương Thị Tuyết</t>
  </si>
  <si>
    <t>40</t>
  </si>
  <si>
    <t>20</t>
  </si>
  <si>
    <t>14.4</t>
  </si>
  <si>
    <t>Bùi Thị Phượng</t>
  </si>
  <si>
    <t>61</t>
  </si>
  <si>
    <t>37</t>
  </si>
  <si>
    <t>26</t>
  </si>
  <si>
    <t xml:space="preserve"> Hoàng Thị Vân Anh</t>
  </si>
  <si>
    <r>
      <rPr>
        <sz val="12"/>
        <color indexed="10"/>
        <rFont val="Times New Roman"/>
        <family val="1"/>
      </rPr>
      <t>03</t>
    </r>
    <r>
      <rPr>
        <sz val="12"/>
        <rFont val="Times New Roman"/>
        <family val="1"/>
      </rPr>
      <t xml:space="preserve"> tháng / năm 2018</t>
    </r>
  </si>
  <si>
    <r>
      <t xml:space="preserve">Hải Phòng, ngày </t>
    </r>
    <r>
      <rPr>
        <sz val="12"/>
        <color indexed="10"/>
        <rFont val="Times New Roman"/>
        <family val="1"/>
      </rPr>
      <t xml:space="preserve">04 </t>
    </r>
    <r>
      <rPr>
        <sz val="12"/>
        <rFont val="Times New Roman"/>
        <family val="1"/>
      </rPr>
      <t>tháng 01 năm 2018</t>
    </r>
  </si>
  <si>
    <t xml:space="preserve">Hải Phòng, ngày 04 tháng 01 năm 2018
PHÓ CỤC TRƯỞNG
</t>
  </si>
  <si>
    <t>Hải Phòng, ngày 04 tháng 01 năm 2017</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</si>
</sst>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
    <numFmt numFmtId="217" formatCode="_(* #,##0_);_(* \(#,##0\);_(* &quot;&quot;??_);_(@_)"/>
  </numFmts>
  <fonts count="15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b/>
      <sz val="12"/>
      <color indexed="9"/>
      <name val="Times New Roman"/>
      <family val="1"/>
    </font>
    <font>
      <i/>
      <sz val="9"/>
      <name val="Times New Roman"/>
      <family val="1"/>
    </font>
    <font>
      <sz val="13"/>
      <name val="Arial"/>
      <family val="2"/>
    </font>
    <font>
      <b/>
      <sz val="8"/>
      <name val="Arial"/>
      <family val="2"/>
    </font>
    <font>
      <sz val="12"/>
      <name val=".VnTimeH"/>
      <family val="2"/>
    </font>
    <font>
      <sz val="11"/>
      <name val=".VnHelvetInsH"/>
      <family val="2"/>
    </font>
    <font>
      <b/>
      <sz val="10"/>
      <color indexed="10"/>
      <name val="Times New Roman"/>
      <family val="1"/>
    </font>
    <font>
      <sz val="11"/>
      <color indexed="8"/>
      <name val="Calibri"/>
      <family val="2"/>
    </font>
    <font>
      <i/>
      <sz val="8"/>
      <color indexed="10"/>
      <name val="Times New Roman"/>
      <family val="1"/>
    </font>
    <font>
      <b/>
      <sz val="14"/>
      <color indexed="10"/>
      <name val="Times New Roman"/>
      <family val="1"/>
    </font>
    <font>
      <b/>
      <sz val="8"/>
      <name val="Tahoma"/>
      <family val="2"/>
    </font>
    <font>
      <sz val="8"/>
      <name val="Tahoma"/>
      <family val="2"/>
    </font>
    <font>
      <sz val="8"/>
      <color indexed="10"/>
      <name val="Times New Roman"/>
      <family val="1"/>
    </font>
    <font>
      <sz val="9"/>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double"/>
      <bottom style="thin"/>
    </border>
    <border>
      <left>
        <color indexed="63"/>
      </left>
      <right>
        <color indexed="63"/>
      </right>
      <top>
        <color indexed="63"/>
      </top>
      <bottom style="double"/>
    </border>
  </borders>
  <cellStyleXfs count="3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0"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0"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0"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0"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0"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0"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0"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0"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0"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0"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0"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0"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1"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1"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1"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1"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1"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1"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1"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1"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1"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1"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1"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1"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2"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3" fillId="37" borderId="1" applyNumberFormat="0" applyAlignment="0" applyProtection="0"/>
    <xf numFmtId="0" fontId="45" fillId="38" borderId="2" applyNumberFormat="0" applyAlignment="0" applyProtection="0"/>
    <xf numFmtId="0" fontId="45"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4" fillId="39" borderId="3" applyNumberFormat="0" applyAlignment="0" applyProtection="0"/>
    <xf numFmtId="0" fontId="46" fillId="40" borderId="4" applyNumberFormat="0" applyAlignment="0" applyProtection="0"/>
    <xf numFmtId="0" fontId="46" fillId="40" borderId="4" applyNumberFormat="0" applyAlignment="0" applyProtection="0"/>
    <xf numFmtId="0" fontId="14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6"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7"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48"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49"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0" fillId="42" borderId="1" applyNumberFormat="0" applyAlignment="0" applyProtection="0"/>
    <xf numFmtId="0" fontId="52" fillId="9" borderId="2" applyNumberFormat="0" applyAlignment="0" applyProtection="0"/>
    <xf numFmtId="0" fontId="52" fillId="9" borderId="2" applyNumberFormat="0" applyAlignment="0" applyProtection="0"/>
    <xf numFmtId="0" fontId="151"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2"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114"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3"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154"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5"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46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285" applyNumberFormat="1" applyFont="1" applyFill="1" applyBorder="1" applyAlignment="1" applyProtection="1">
      <alignment horizontal="center" vertical="center"/>
      <protection/>
    </xf>
    <xf numFmtId="49" fontId="0" fillId="47" borderId="0" xfId="288" applyNumberFormat="1" applyFont="1" applyFill="1" applyBorder="1" applyAlignment="1">
      <alignment horizontal="left"/>
      <protection/>
    </xf>
    <xf numFmtId="49" fontId="0" fillId="0" borderId="0" xfId="288" applyNumberFormat="1" applyFont="1">
      <alignment/>
      <protection/>
    </xf>
    <xf numFmtId="49" fontId="0" fillId="0" borderId="0" xfId="288" applyNumberFormat="1">
      <alignment/>
      <protection/>
    </xf>
    <xf numFmtId="49" fontId="0" fillId="0" borderId="0" xfId="288" applyNumberFormat="1" applyFont="1" applyAlignment="1">
      <alignment horizontal="left"/>
      <protection/>
    </xf>
    <xf numFmtId="49" fontId="0" fillId="0" borderId="0" xfId="288" applyNumberFormat="1" applyFont="1" applyBorder="1" applyAlignment="1">
      <alignment wrapText="1"/>
      <protection/>
    </xf>
    <xf numFmtId="49" fontId="20" fillId="0" borderId="0" xfId="288" applyNumberFormat="1" applyFont="1" applyAlignment="1">
      <alignment/>
      <protection/>
    </xf>
    <xf numFmtId="49" fontId="0" fillId="0" borderId="0" xfId="288" applyNumberFormat="1" applyFont="1" applyBorder="1" applyAlignment="1">
      <alignment horizontal="left" wrapText="1"/>
      <protection/>
    </xf>
    <xf numFmtId="49" fontId="23" fillId="0" borderId="0" xfId="288" applyNumberFormat="1" applyFont="1" applyAlignment="1">
      <alignment horizontal="left"/>
      <protection/>
    </xf>
    <xf numFmtId="49" fontId="0" fillId="0" borderId="0" xfId="288" applyNumberFormat="1" applyFont="1" applyFill="1" applyAlignment="1">
      <alignment/>
      <protection/>
    </xf>
    <xf numFmtId="49" fontId="0" fillId="0" borderId="0" xfId="288" applyNumberFormat="1" applyFont="1" applyFill="1" applyAlignment="1">
      <alignment horizontal="center"/>
      <protection/>
    </xf>
    <xf numFmtId="49" fontId="0" fillId="0" borderId="0" xfId="288" applyNumberFormat="1" applyFont="1" applyAlignment="1">
      <alignment horizontal="center"/>
      <protection/>
    </xf>
    <xf numFmtId="49" fontId="0" fillId="0" borderId="0" xfId="288" applyNumberFormat="1" applyFont="1" applyFill="1">
      <alignment/>
      <protection/>
    </xf>
    <xf numFmtId="49" fontId="18" fillId="47" borderId="22" xfId="288" applyNumberFormat="1" applyFont="1" applyFill="1" applyBorder="1" applyAlignment="1">
      <alignment/>
      <protection/>
    </xf>
    <xf numFmtId="49" fontId="12" fillId="0" borderId="20" xfId="288" applyNumberFormat="1" applyFont="1" applyFill="1" applyBorder="1" applyAlignment="1">
      <alignment horizontal="center" vertical="center" wrapText="1"/>
      <protection/>
    </xf>
    <xf numFmtId="49" fontId="59" fillId="48" borderId="20" xfId="288" applyNumberFormat="1" applyFont="1" applyFill="1" applyBorder="1" applyAlignment="1">
      <alignment horizontal="center"/>
      <protection/>
    </xf>
    <xf numFmtId="49" fontId="12" fillId="0" borderId="21" xfId="288" applyNumberFormat="1" applyFont="1" applyFill="1" applyBorder="1" applyAlignment="1">
      <alignment horizontal="center" vertical="center" wrapText="1"/>
      <protection/>
    </xf>
    <xf numFmtId="49" fontId="12" fillId="0" borderId="20" xfId="288" applyNumberFormat="1" applyFont="1" applyBorder="1" applyAlignment="1">
      <alignment horizontal="center" vertical="center" wrapText="1"/>
      <protection/>
    </xf>
    <xf numFmtId="49" fontId="60" fillId="0" borderId="20" xfId="288" applyNumberFormat="1" applyFont="1" applyFill="1" applyBorder="1" applyAlignment="1">
      <alignment horizontal="center" vertical="center" wrapText="1"/>
      <protection/>
    </xf>
    <xf numFmtId="49" fontId="23" fillId="0" borderId="20" xfId="288" applyNumberFormat="1" applyFont="1" applyBorder="1" applyAlignment="1">
      <alignment horizontal="center" vertical="center"/>
      <protection/>
    </xf>
    <xf numFmtId="3" fontId="0" fillId="0" borderId="20" xfId="288" applyNumberFormat="1" applyFont="1" applyBorder="1" applyAlignment="1">
      <alignment horizontal="center" vertical="center"/>
      <protection/>
    </xf>
    <xf numFmtId="3" fontId="0" fillId="0" borderId="20" xfId="288" applyNumberFormat="1" applyFont="1" applyBorder="1" applyAlignment="1">
      <alignment vertical="center"/>
      <protection/>
    </xf>
    <xf numFmtId="49" fontId="0" fillId="0" borderId="0" xfId="288" applyNumberFormat="1" applyAlignment="1">
      <alignment vertical="center"/>
      <protection/>
    </xf>
    <xf numFmtId="3" fontId="58" fillId="3" borderId="20" xfId="288" applyNumberFormat="1" applyFont="1" applyFill="1" applyBorder="1" applyAlignment="1">
      <alignment vertical="center"/>
      <protection/>
    </xf>
    <xf numFmtId="3" fontId="63" fillId="3" borderId="20" xfId="288" applyNumberFormat="1" applyFont="1" applyFill="1" applyBorder="1" applyAlignment="1">
      <alignment vertical="center"/>
      <protection/>
    </xf>
    <xf numFmtId="49" fontId="64" fillId="0" borderId="20" xfId="288" applyNumberFormat="1" applyFont="1" applyBorder="1" applyAlignment="1">
      <alignment horizontal="center" vertical="center"/>
      <protection/>
    </xf>
    <xf numFmtId="3" fontId="30" fillId="44" borderId="20" xfId="288" applyNumberFormat="1" applyFont="1" applyFill="1" applyBorder="1" applyAlignment="1">
      <alignment vertical="center"/>
      <protection/>
    </xf>
    <xf numFmtId="3" fontId="7" fillId="48" borderId="20" xfId="288" applyNumberFormat="1" applyFont="1" applyFill="1" applyBorder="1" applyAlignment="1">
      <alignment horizontal="center" vertical="center"/>
      <protection/>
    </xf>
    <xf numFmtId="3" fontId="7" fillId="48" borderId="20" xfId="288" applyNumberFormat="1" applyFont="1" applyFill="1" applyBorder="1" applyAlignment="1">
      <alignment vertical="center"/>
      <protection/>
    </xf>
    <xf numFmtId="49" fontId="12" fillId="44" borderId="20" xfId="288" applyNumberFormat="1" applyFont="1" applyFill="1" applyBorder="1" applyAlignment="1">
      <alignment horizontal="center" vertical="center"/>
      <protection/>
    </xf>
    <xf numFmtId="49" fontId="12" fillId="44" borderId="20" xfId="288" applyNumberFormat="1" applyFont="1" applyFill="1" applyBorder="1" applyAlignment="1">
      <alignment horizontal="left" vertical="center"/>
      <protection/>
    </xf>
    <xf numFmtId="3" fontId="34" fillId="48" borderId="20" xfId="288" applyNumberFormat="1" applyFont="1" applyFill="1" applyBorder="1" applyAlignment="1">
      <alignment vertical="center"/>
      <protection/>
    </xf>
    <xf numFmtId="3" fontId="34" fillId="0" borderId="20" xfId="288" applyNumberFormat="1" applyFont="1" applyFill="1" applyBorder="1" applyAlignment="1">
      <alignment vertical="center"/>
      <protection/>
    </xf>
    <xf numFmtId="9" fontId="0" fillId="0" borderId="0" xfId="303" applyFont="1" applyAlignment="1">
      <alignment vertical="center"/>
    </xf>
    <xf numFmtId="49" fontId="12" fillId="44" borderId="23" xfId="288" applyNumberFormat="1" applyFont="1" applyFill="1" applyBorder="1" applyAlignment="1">
      <alignment horizontal="center" vertical="center"/>
      <protection/>
    </xf>
    <xf numFmtId="3" fontId="30" fillId="44" borderId="20" xfId="288" applyNumberFormat="1" applyFont="1" applyFill="1" applyBorder="1" applyAlignment="1">
      <alignment vertical="center"/>
      <protection/>
    </xf>
    <xf numFmtId="49" fontId="8" fillId="0" borderId="20" xfId="288" applyNumberFormat="1" applyFont="1" applyBorder="1" applyAlignment="1">
      <alignment horizontal="center" vertical="center"/>
      <protection/>
    </xf>
    <xf numFmtId="49" fontId="8" fillId="47" borderId="20" xfId="288" applyNumberFormat="1" applyFont="1" applyFill="1" applyBorder="1" applyAlignment="1">
      <alignment horizontal="left" vertical="center"/>
      <protection/>
    </xf>
    <xf numFmtId="49" fontId="10" fillId="47" borderId="20" xfId="288" applyNumberFormat="1" applyFont="1" applyFill="1" applyBorder="1" applyAlignment="1">
      <alignment horizontal="left" vertical="center"/>
      <protection/>
    </xf>
    <xf numFmtId="3" fontId="34" fillId="0" borderId="20" xfId="290" applyNumberFormat="1" applyFont="1" applyFill="1" applyBorder="1" applyAlignment="1">
      <alignment vertical="center"/>
      <protection/>
    </xf>
    <xf numFmtId="49" fontId="25" fillId="0" borderId="0" xfId="288" applyNumberFormat="1" applyFont="1" applyAlignment="1">
      <alignment vertical="center"/>
      <protection/>
    </xf>
    <xf numFmtId="49" fontId="8" fillId="47" borderId="20" xfId="288" applyNumberFormat="1" applyFont="1" applyFill="1" applyBorder="1" applyAlignment="1">
      <alignment horizontal="left" vertical="center"/>
      <protection/>
    </xf>
    <xf numFmtId="3" fontId="34" fillId="0" borderId="20" xfId="290" applyNumberFormat="1" applyFont="1" applyFill="1" applyBorder="1" applyAlignment="1">
      <alignment horizontal="center" vertical="center"/>
      <protection/>
    </xf>
    <xf numFmtId="49" fontId="0" fillId="0" borderId="0" xfId="288" applyNumberFormat="1" applyFill="1">
      <alignment/>
      <protection/>
    </xf>
    <xf numFmtId="49" fontId="25" fillId="0" borderId="0" xfId="288" applyNumberFormat="1" applyFont="1">
      <alignment/>
      <protection/>
    </xf>
    <xf numFmtId="49" fontId="34" fillId="0" borderId="0" xfId="288" applyNumberFormat="1" applyFont="1" applyFill="1" applyBorder="1" applyAlignment="1">
      <alignment horizontal="center" wrapText="1"/>
      <protection/>
    </xf>
    <xf numFmtId="49" fontId="65" fillId="0" borderId="0" xfId="288" applyNumberFormat="1" applyFont="1" applyBorder="1">
      <alignment/>
      <protection/>
    </xf>
    <xf numFmtId="49" fontId="66" fillId="0" borderId="0" xfId="288" applyNumberFormat="1" applyFont="1">
      <alignment/>
      <protection/>
    </xf>
    <xf numFmtId="49" fontId="1" fillId="0" borderId="0" xfId="288" applyNumberFormat="1" applyFont="1">
      <alignment/>
      <protection/>
    </xf>
    <xf numFmtId="9" fontId="1" fillId="0" borderId="0" xfId="303" applyFont="1" applyAlignment="1">
      <alignment/>
    </xf>
    <xf numFmtId="49" fontId="67" fillId="0" borderId="0" xfId="288" applyNumberFormat="1" applyFont="1" applyBorder="1">
      <alignment/>
      <protection/>
    </xf>
    <xf numFmtId="49" fontId="30" fillId="0" borderId="0" xfId="288" applyNumberFormat="1" applyFont="1" applyBorder="1" applyAlignment="1">
      <alignment horizontal="center" wrapText="1"/>
      <protection/>
    </xf>
    <xf numFmtId="49" fontId="30" fillId="0" borderId="0" xfId="288" applyNumberFormat="1" applyFont="1" applyFill="1" applyBorder="1" applyAlignment="1">
      <alignment horizontal="center" wrapText="1"/>
      <protection/>
    </xf>
    <xf numFmtId="49" fontId="68" fillId="0" borderId="0" xfId="288" applyNumberFormat="1" applyFont="1" applyBorder="1">
      <alignment/>
      <protection/>
    </xf>
    <xf numFmtId="49" fontId="69" fillId="0" borderId="0" xfId="288" applyNumberFormat="1" applyFont="1" applyBorder="1" applyAlignment="1">
      <alignment wrapText="1"/>
      <protection/>
    </xf>
    <xf numFmtId="49" fontId="6" fillId="0" borderId="0" xfId="288" applyNumberFormat="1" applyFont="1" applyBorder="1">
      <alignment/>
      <protection/>
    </xf>
    <xf numFmtId="49" fontId="46" fillId="0" borderId="0" xfId="288" applyNumberFormat="1" applyFont="1" applyBorder="1" applyAlignment="1">
      <alignment horizontal="center" wrapText="1"/>
      <protection/>
    </xf>
    <xf numFmtId="49" fontId="46" fillId="0" borderId="0" xfId="288" applyNumberFormat="1" applyFont="1" applyFill="1" applyBorder="1" applyAlignment="1">
      <alignment horizontal="center" wrapText="1"/>
      <protection/>
    </xf>
    <xf numFmtId="49" fontId="70" fillId="0" borderId="0" xfId="288" applyNumberFormat="1" applyFont="1" applyBorder="1">
      <alignment/>
      <protection/>
    </xf>
    <xf numFmtId="49" fontId="34" fillId="0" borderId="0" xfId="288" applyNumberFormat="1" applyFont="1">
      <alignment/>
      <protection/>
    </xf>
    <xf numFmtId="49" fontId="34" fillId="0" borderId="0" xfId="288" applyNumberFormat="1" applyFont="1" applyFill="1">
      <alignment/>
      <protection/>
    </xf>
    <xf numFmtId="49" fontId="34" fillId="47" borderId="0" xfId="288" applyNumberFormat="1" applyFont="1" applyFill="1">
      <alignment/>
      <protection/>
    </xf>
    <xf numFmtId="0" fontId="30" fillId="0" borderId="0" xfId="288" applyFont="1" applyAlignment="1">
      <alignment horizontal="center"/>
      <protection/>
    </xf>
    <xf numFmtId="49" fontId="30" fillId="47" borderId="0" xfId="288" applyNumberFormat="1" applyFont="1" applyFill="1" applyAlignment="1">
      <alignment horizontal="center"/>
      <protection/>
    </xf>
    <xf numFmtId="0" fontId="72" fillId="0" borderId="0" xfId="288" applyFont="1" applyAlignment="1">
      <alignment/>
      <protection/>
    </xf>
    <xf numFmtId="0" fontId="7" fillId="0" borderId="0" xfId="288" applyFont="1" applyAlignment="1">
      <alignment/>
      <protection/>
    </xf>
    <xf numFmtId="49" fontId="37" fillId="0" borderId="0" xfId="288" applyNumberFormat="1" applyFont="1">
      <alignment/>
      <protection/>
    </xf>
    <xf numFmtId="3" fontId="0" fillId="0" borderId="0" xfId="288" applyNumberFormat="1" applyFont="1" applyFill="1">
      <alignment/>
      <protection/>
    </xf>
    <xf numFmtId="49" fontId="7" fillId="0" borderId="0" xfId="288" applyNumberFormat="1" applyFont="1" applyFill="1" applyAlignment="1">
      <alignment wrapText="1"/>
      <protection/>
    </xf>
    <xf numFmtId="49" fontId="0" fillId="0" borderId="0" xfId="288" applyNumberFormat="1" applyFont="1" applyFill="1" applyBorder="1" applyAlignment="1">
      <alignment/>
      <protection/>
    </xf>
    <xf numFmtId="49" fontId="0" fillId="0" borderId="0" xfId="288" applyNumberFormat="1" applyFont="1" applyFill="1" applyBorder="1">
      <alignment/>
      <protection/>
    </xf>
    <xf numFmtId="49" fontId="24" fillId="0" borderId="22" xfId="288" applyNumberFormat="1" applyFont="1" applyFill="1" applyBorder="1" applyAlignment="1">
      <alignment/>
      <protection/>
    </xf>
    <xf numFmtId="49" fontId="10" fillId="0" borderId="22" xfId="288" applyNumberFormat="1" applyFont="1" applyFill="1" applyBorder="1" applyAlignment="1">
      <alignment horizontal="center"/>
      <protection/>
    </xf>
    <xf numFmtId="49" fontId="0" fillId="0" borderId="0" xfId="288" applyNumberFormat="1" applyFill="1" applyBorder="1">
      <alignment/>
      <protection/>
    </xf>
    <xf numFmtId="49" fontId="11" fillId="0" borderId="20" xfId="288" applyNumberFormat="1" applyFont="1" applyFill="1" applyBorder="1" applyAlignment="1">
      <alignment horizontal="center" vertical="center" wrapText="1"/>
      <protection/>
    </xf>
    <xf numFmtId="49" fontId="24" fillId="0" borderId="20" xfId="288" applyNumberFormat="1" applyFont="1" applyFill="1" applyBorder="1" applyAlignment="1">
      <alignment horizontal="center" vertical="center" wrapText="1"/>
      <protection/>
    </xf>
    <xf numFmtId="3" fontId="35" fillId="3" borderId="20" xfId="288" applyNumberFormat="1" applyFont="1" applyFill="1" applyBorder="1" applyAlignment="1">
      <alignment horizontal="center" vertical="center" wrapText="1"/>
      <protection/>
    </xf>
    <xf numFmtId="3" fontId="75" fillId="3" borderId="20" xfId="288" applyNumberFormat="1" applyFont="1" applyFill="1" applyBorder="1" applyAlignment="1">
      <alignment horizontal="center" vertical="center" wrapText="1"/>
      <protection/>
    </xf>
    <xf numFmtId="3" fontId="11" fillId="44" borderId="20" xfId="288" applyNumberFormat="1" applyFont="1" applyFill="1" applyBorder="1" applyAlignment="1">
      <alignment horizontal="center" vertical="center" wrapText="1"/>
      <protection/>
    </xf>
    <xf numFmtId="49" fontId="12" fillId="0" borderId="20" xfId="288" applyNumberFormat="1" applyFont="1" applyFill="1" applyBorder="1" applyAlignment="1">
      <alignment horizontal="center"/>
      <protection/>
    </xf>
    <xf numFmtId="49" fontId="12" fillId="0" borderId="20" xfId="288" applyNumberFormat="1" applyFont="1" applyFill="1" applyBorder="1" applyAlignment="1">
      <alignment horizontal="left"/>
      <protection/>
    </xf>
    <xf numFmtId="3" fontId="10" fillId="44" borderId="20" xfId="288" applyNumberFormat="1" applyFont="1" applyFill="1" applyBorder="1" applyAlignment="1">
      <alignment horizontal="center" vertical="center" wrapText="1"/>
      <protection/>
    </xf>
    <xf numFmtId="3" fontId="10" fillId="0" borderId="20" xfId="288" applyNumberFormat="1" applyFont="1" applyFill="1" applyBorder="1" applyAlignment="1">
      <alignment horizontal="center" vertical="center" wrapText="1"/>
      <protection/>
    </xf>
    <xf numFmtId="9" fontId="0" fillId="0" borderId="0" xfId="303" applyFont="1" applyFill="1" applyAlignment="1">
      <alignment/>
    </xf>
    <xf numFmtId="49" fontId="12" fillId="44" borderId="23" xfId="288" applyNumberFormat="1" applyFont="1" applyFill="1" applyBorder="1" applyAlignment="1">
      <alignment horizontal="center"/>
      <protection/>
    </xf>
    <xf numFmtId="49" fontId="12" fillId="44" borderId="20" xfId="288" applyNumberFormat="1" applyFont="1" applyFill="1" applyBorder="1" applyAlignment="1">
      <alignment horizontal="left"/>
      <protection/>
    </xf>
    <xf numFmtId="49" fontId="8" fillId="0" borderId="23" xfId="288" applyNumberFormat="1" applyFont="1" applyFill="1" applyBorder="1" applyAlignment="1">
      <alignment horizontal="center"/>
      <protection/>
    </xf>
    <xf numFmtId="49" fontId="8" fillId="47" borderId="20" xfId="288" applyNumberFormat="1" applyFont="1" applyFill="1" applyBorder="1" applyAlignment="1">
      <alignment horizontal="left"/>
      <protection/>
    </xf>
    <xf numFmtId="3" fontId="10" fillId="47" borderId="20" xfId="288" applyNumberFormat="1" applyFont="1" applyFill="1" applyBorder="1" applyAlignment="1">
      <alignment horizontal="center" vertical="center" wrapText="1"/>
      <protection/>
    </xf>
    <xf numFmtId="49" fontId="10" fillId="47" borderId="20" xfId="288" applyNumberFormat="1" applyFont="1" applyFill="1" applyBorder="1" applyAlignment="1">
      <alignment horizontal="left"/>
      <protection/>
    </xf>
    <xf numFmtId="49" fontId="11" fillId="0" borderId="19" xfId="288" applyNumberFormat="1" applyFont="1" applyFill="1" applyBorder="1" applyAlignment="1">
      <alignment horizontal="center"/>
      <protection/>
    </xf>
    <xf numFmtId="49" fontId="11" fillId="0" borderId="19" xfId="288" applyNumberFormat="1" applyFont="1" applyFill="1" applyBorder="1" applyAlignment="1">
      <alignment horizontal="left"/>
      <protection/>
    </xf>
    <xf numFmtId="3" fontId="10" fillId="0" borderId="19" xfId="288" applyNumberFormat="1" applyFont="1" applyFill="1" applyBorder="1" applyAlignment="1">
      <alignment horizontal="center" vertical="center" wrapText="1"/>
      <protection/>
    </xf>
    <xf numFmtId="49" fontId="20" fillId="0" borderId="0" xfId="288" applyNumberFormat="1" applyFont="1" applyFill="1" applyBorder="1" applyAlignment="1">
      <alignment vertical="center" wrapText="1"/>
      <protection/>
    </xf>
    <xf numFmtId="49" fontId="76" fillId="0" borderId="0" xfId="288" applyNumberFormat="1" applyFont="1" applyFill="1">
      <alignment/>
      <protection/>
    </xf>
    <xf numFmtId="49" fontId="8" fillId="0" borderId="0" xfId="288" applyNumberFormat="1" applyFont="1" applyFill="1">
      <alignment/>
      <protection/>
    </xf>
    <xf numFmtId="49" fontId="0" fillId="47" borderId="0" xfId="288" applyNumberFormat="1" applyFont="1" applyFill="1">
      <alignment/>
      <protection/>
    </xf>
    <xf numFmtId="49" fontId="7" fillId="47" borderId="0" xfId="288" applyNumberFormat="1" applyFont="1" applyFill="1" applyAlignment="1">
      <alignment horizontal="center"/>
      <protection/>
    </xf>
    <xf numFmtId="49" fontId="27" fillId="0" borderId="0" xfId="288" applyNumberFormat="1" applyFont="1" applyFill="1">
      <alignment/>
      <protection/>
    </xf>
    <xf numFmtId="49" fontId="7" fillId="0" borderId="0" xfId="288" applyNumberFormat="1" applyFont="1" applyFill="1">
      <alignment/>
      <protection/>
    </xf>
    <xf numFmtId="49" fontId="18" fillId="0" borderId="0" xfId="288" applyNumberFormat="1" applyFont="1" applyFill="1" applyAlignment="1">
      <alignment/>
      <protection/>
    </xf>
    <xf numFmtId="49" fontId="18" fillId="0" borderId="0" xfId="288" applyNumberFormat="1" applyFont="1" applyFill="1" applyAlignment="1">
      <alignment wrapText="1"/>
      <protection/>
    </xf>
    <xf numFmtId="49" fontId="18" fillId="0" borderId="0" xfId="288" applyNumberFormat="1" applyFont="1" applyFill="1" applyAlignment="1">
      <alignment horizontal="left" wrapText="1"/>
      <protection/>
    </xf>
    <xf numFmtId="49" fontId="0" fillId="0" borderId="0" xfId="288" applyNumberFormat="1" applyAlignment="1">
      <alignment horizontal="left"/>
      <protection/>
    </xf>
    <xf numFmtId="49" fontId="0" fillId="0" borderId="0" xfId="288" applyNumberFormat="1" applyFont="1" applyBorder="1" applyAlignment="1">
      <alignment horizontal="left"/>
      <protection/>
    </xf>
    <xf numFmtId="49" fontId="18" fillId="0" borderId="20" xfId="288" applyNumberFormat="1" applyFont="1" applyBorder="1" applyAlignment="1">
      <alignment horizontal="center"/>
      <protection/>
    </xf>
    <xf numFmtId="3" fontId="8" fillId="4" borderId="20" xfId="290" applyNumberFormat="1" applyFont="1" applyFill="1" applyBorder="1" applyAlignment="1">
      <alignment horizontal="center" vertical="center"/>
      <protection/>
    </xf>
    <xf numFmtId="3" fontId="38" fillId="47" borderId="20" xfId="288" applyNumberFormat="1" applyFont="1" applyFill="1" applyBorder="1" applyAlignment="1">
      <alignment horizontal="center" vertical="center"/>
      <protection/>
    </xf>
    <xf numFmtId="3" fontId="22" fillId="3" borderId="20" xfId="288" applyNumberFormat="1" applyFont="1" applyFill="1" applyBorder="1" applyAlignment="1">
      <alignment horizontal="center" vertical="center"/>
      <protection/>
    </xf>
    <xf numFmtId="3" fontId="40" fillId="3" borderId="20" xfId="288" applyNumberFormat="1" applyFont="1" applyFill="1" applyBorder="1" applyAlignment="1">
      <alignment horizontal="center" vertical="center"/>
      <protection/>
    </xf>
    <xf numFmtId="3" fontId="12" fillId="44" borderId="20" xfId="288" applyNumberFormat="1" applyFont="1" applyFill="1" applyBorder="1" applyAlignment="1">
      <alignment horizontal="center" vertical="center"/>
      <protection/>
    </xf>
    <xf numFmtId="3" fontId="12" fillId="44" borderId="20" xfId="288" applyNumberFormat="1" applyFont="1" applyFill="1" applyBorder="1" applyAlignment="1">
      <alignment horizontal="center" vertical="center"/>
      <protection/>
    </xf>
    <xf numFmtId="3" fontId="12" fillId="4" borderId="20" xfId="290" applyNumberFormat="1" applyFont="1" applyFill="1" applyBorder="1" applyAlignment="1">
      <alignment horizontal="center" vertical="center"/>
      <protection/>
    </xf>
    <xf numFmtId="49" fontId="12" fillId="0" borderId="20" xfId="288" applyNumberFormat="1" applyFont="1" applyBorder="1" applyAlignment="1">
      <alignment horizontal="center" vertical="center"/>
      <protection/>
    </xf>
    <xf numFmtId="49" fontId="12" fillId="47" borderId="20" xfId="288" applyNumberFormat="1" applyFont="1" applyFill="1" applyBorder="1" applyAlignment="1">
      <alignment horizontal="left" vertical="center"/>
      <protection/>
    </xf>
    <xf numFmtId="3" fontId="8" fillId="47" borderId="20" xfId="288" applyNumberFormat="1" applyFont="1" applyFill="1" applyBorder="1" applyAlignment="1">
      <alignment horizontal="center" vertical="center"/>
      <protection/>
    </xf>
    <xf numFmtId="3" fontId="8" fillId="44" borderId="20" xfId="288" applyNumberFormat="1" applyFont="1" applyFill="1" applyBorder="1" applyAlignment="1">
      <alignment horizontal="center" vertical="center"/>
      <protection/>
    </xf>
    <xf numFmtId="49" fontId="8" fillId="0" borderId="23" xfId="288" applyNumberFormat="1" applyFont="1" applyBorder="1" applyAlignment="1">
      <alignment horizontal="center" vertical="center"/>
      <protection/>
    </xf>
    <xf numFmtId="49" fontId="0" fillId="0" borderId="0" xfId="288" applyNumberFormat="1" applyFont="1" applyAlignment="1">
      <alignment vertical="center"/>
      <protection/>
    </xf>
    <xf numFmtId="3" fontId="8" fillId="0" borderId="20" xfId="288" applyNumberFormat="1" applyFont="1" applyFill="1" applyBorder="1" applyAlignment="1">
      <alignment horizontal="center" vertical="center"/>
      <protection/>
    </xf>
    <xf numFmtId="3" fontId="8" fillId="47" borderId="20" xfId="290" applyNumberFormat="1" applyFont="1" applyFill="1" applyBorder="1" applyAlignment="1">
      <alignment horizontal="center" vertical="center"/>
      <protection/>
    </xf>
    <xf numFmtId="49" fontId="8" fillId="47" borderId="23" xfId="288" applyNumberFormat="1" applyFont="1" applyFill="1" applyBorder="1" applyAlignment="1">
      <alignment horizontal="center" vertical="center"/>
      <protection/>
    </xf>
    <xf numFmtId="9" fontId="25" fillId="0" borderId="0" xfId="303" applyFont="1" applyAlignment="1">
      <alignment vertical="center"/>
    </xf>
    <xf numFmtId="49" fontId="8" fillId="0" borderId="0" xfId="288" applyNumberFormat="1" applyFont="1" applyBorder="1" applyAlignment="1">
      <alignment horizontal="center"/>
      <protection/>
    </xf>
    <xf numFmtId="49" fontId="8" fillId="47" borderId="0" xfId="288" applyNumberFormat="1" applyFont="1" applyFill="1" applyBorder="1" applyAlignment="1">
      <alignment horizontal="left"/>
      <protection/>
    </xf>
    <xf numFmtId="49" fontId="0" fillId="0" borderId="0" xfId="288" applyNumberFormat="1" applyFont="1" applyFill="1" applyBorder="1" applyAlignment="1">
      <alignment horizontal="center"/>
      <protection/>
    </xf>
    <xf numFmtId="3" fontId="8" fillId="47" borderId="19" xfId="290" applyNumberFormat="1" applyFont="1" applyFill="1" applyBorder="1" applyAlignment="1">
      <alignment horizontal="center" vertical="center"/>
      <protection/>
    </xf>
    <xf numFmtId="9" fontId="0" fillId="0" borderId="0" xfId="303" applyFont="1" applyAlignment="1">
      <alignment/>
    </xf>
    <xf numFmtId="49" fontId="34" fillId="0" borderId="0" xfId="288" applyNumberFormat="1" applyFont="1" applyBorder="1" applyAlignment="1">
      <alignment wrapText="1"/>
      <protection/>
    </xf>
    <xf numFmtId="3" fontId="8" fillId="47" borderId="0" xfId="290" applyNumberFormat="1" applyFont="1" applyFill="1" applyBorder="1" applyAlignment="1">
      <alignment horizontal="center" vertical="center"/>
      <protection/>
    </xf>
    <xf numFmtId="49" fontId="34" fillId="0" borderId="0" xfId="288" applyNumberFormat="1" applyFont="1" applyAlignment="1">
      <alignment wrapText="1"/>
      <protection/>
    </xf>
    <xf numFmtId="49" fontId="43" fillId="0" borderId="0" xfId="288" applyNumberFormat="1" applyFont="1">
      <alignment/>
      <protection/>
    </xf>
    <xf numFmtId="49" fontId="43" fillId="0" borderId="0" xfId="288" applyNumberFormat="1" applyFont="1" applyAlignment="1">
      <alignment wrapText="1"/>
      <protection/>
    </xf>
    <xf numFmtId="49" fontId="7" fillId="47" borderId="0" xfId="288" applyNumberFormat="1" applyFont="1" applyFill="1" applyAlignment="1">
      <alignment/>
      <protection/>
    </xf>
    <xf numFmtId="49" fontId="78" fillId="0" borderId="0" xfId="288" applyNumberFormat="1" applyFont="1">
      <alignment/>
      <protection/>
    </xf>
    <xf numFmtId="49" fontId="18" fillId="0" borderId="0" xfId="288" applyNumberFormat="1" applyFont="1" applyBorder="1" applyAlignment="1">
      <alignment wrapText="1"/>
      <protection/>
    </xf>
    <xf numFmtId="49" fontId="0" fillId="0" borderId="0" xfId="291" applyNumberFormat="1" applyFont="1" applyAlignment="1">
      <alignment horizontal="left"/>
      <protection/>
    </xf>
    <xf numFmtId="49" fontId="19" fillId="0" borderId="0" xfId="291" applyNumberFormat="1" applyFont="1" applyAlignment="1">
      <alignment wrapText="1"/>
      <protection/>
    </xf>
    <xf numFmtId="49" fontId="7" fillId="47" borderId="0" xfId="291" applyNumberFormat="1" applyFont="1" applyFill="1" applyBorder="1" applyAlignment="1">
      <alignment horizontal="left"/>
      <protection/>
    </xf>
    <xf numFmtId="49" fontId="0" fillId="47" borderId="0" xfId="291" applyNumberFormat="1" applyFont="1" applyFill="1" applyBorder="1" applyAlignment="1">
      <alignment horizontal="left"/>
      <protection/>
    </xf>
    <xf numFmtId="49" fontId="32" fillId="0" borderId="0" xfId="291" applyNumberFormat="1" applyFont="1">
      <alignment/>
      <protection/>
    </xf>
    <xf numFmtId="49" fontId="0" fillId="47" borderId="0" xfId="291" applyNumberFormat="1" applyFont="1" applyFill="1" applyBorder="1" applyAlignment="1">
      <alignment/>
      <protection/>
    </xf>
    <xf numFmtId="49" fontId="7" fillId="0" borderId="0" xfId="291" applyNumberFormat="1" applyFont="1" applyBorder="1" applyAlignment="1">
      <alignment horizontal="left"/>
      <protection/>
    </xf>
    <xf numFmtId="49" fontId="0" fillId="0" borderId="0" xfId="291" applyNumberFormat="1" applyFont="1" applyBorder="1" applyAlignment="1">
      <alignment horizontal="left"/>
      <protection/>
    </xf>
    <xf numFmtId="49" fontId="0" fillId="0" borderId="0" xfId="291" applyNumberFormat="1" applyFont="1" applyBorder="1" applyAlignment="1">
      <alignment/>
      <protection/>
    </xf>
    <xf numFmtId="49" fontId="23" fillId="0" borderId="22" xfId="291" applyNumberFormat="1" applyFont="1" applyBorder="1" applyAlignment="1">
      <alignment horizontal="left"/>
      <protection/>
    </xf>
    <xf numFmtId="49" fontId="7" fillId="0" borderId="22" xfId="291" applyNumberFormat="1" applyFont="1" applyBorder="1" applyAlignment="1">
      <alignment horizontal="left"/>
      <protection/>
    </xf>
    <xf numFmtId="49" fontId="32" fillId="0" borderId="0" xfId="291" applyNumberFormat="1" applyFont="1" applyFill="1">
      <alignment/>
      <protection/>
    </xf>
    <xf numFmtId="49" fontId="32" fillId="0" borderId="0" xfId="291" applyNumberFormat="1" applyFont="1" applyAlignment="1">
      <alignment vertical="center"/>
      <protection/>
    </xf>
    <xf numFmtId="49" fontId="11" fillId="47" borderId="20" xfId="291" applyNumberFormat="1" applyFont="1" applyFill="1" applyBorder="1" applyAlignment="1">
      <alignment horizontal="left" vertical="center"/>
      <protection/>
    </xf>
    <xf numFmtId="49" fontId="1" fillId="0" borderId="0" xfId="291" applyNumberFormat="1" applyFont="1">
      <alignment/>
      <protection/>
    </xf>
    <xf numFmtId="49" fontId="34" fillId="0" borderId="0" xfId="291" applyNumberFormat="1" applyFont="1" applyBorder="1" applyAlignment="1">
      <alignment/>
      <protection/>
    </xf>
    <xf numFmtId="49" fontId="85" fillId="0" borderId="0" xfId="291" applyNumberFormat="1" applyFont="1">
      <alignment/>
      <protection/>
    </xf>
    <xf numFmtId="49" fontId="30" fillId="0" borderId="0" xfId="291" applyNumberFormat="1" applyFont="1" applyBorder="1" applyAlignment="1">
      <alignment/>
      <protection/>
    </xf>
    <xf numFmtId="49" fontId="10" fillId="0" borderId="0" xfId="291" applyNumberFormat="1" applyFont="1">
      <alignment/>
      <protection/>
    </xf>
    <xf numFmtId="49" fontId="34" fillId="0" borderId="0" xfId="291" applyNumberFormat="1" applyFont="1" applyAlignment="1">
      <alignment horizontal="center"/>
      <protection/>
    </xf>
    <xf numFmtId="49" fontId="34" fillId="0" borderId="0" xfId="291" applyNumberFormat="1" applyFont="1">
      <alignment/>
      <protection/>
    </xf>
    <xf numFmtId="49" fontId="85" fillId="0" borderId="0" xfId="291" applyNumberFormat="1" applyFont="1" applyAlignment="1">
      <alignment horizontal="center"/>
      <protection/>
    </xf>
    <xf numFmtId="49" fontId="18" fillId="0" borderId="0" xfId="291" applyNumberFormat="1" applyFont="1" applyBorder="1" applyAlignment="1">
      <alignment wrapText="1"/>
      <protection/>
    </xf>
    <xf numFmtId="49" fontId="87" fillId="0" borderId="0" xfId="291" applyNumberFormat="1" applyFont="1">
      <alignment/>
      <protection/>
    </xf>
    <xf numFmtId="9" fontId="32" fillId="0" borderId="0" xfId="303" applyFont="1" applyAlignment="1">
      <alignment/>
    </xf>
    <xf numFmtId="3" fontId="0" fillId="47" borderId="0" xfId="291" applyNumberFormat="1" applyFont="1" applyFill="1" applyBorder="1" applyAlignment="1">
      <alignment/>
      <protection/>
    </xf>
    <xf numFmtId="0" fontId="32" fillId="0" borderId="0" xfId="291">
      <alignment/>
      <protection/>
    </xf>
    <xf numFmtId="0" fontId="0" fillId="0" borderId="0" xfId="291" applyFont="1" applyAlignment="1">
      <alignment horizontal="left"/>
      <protection/>
    </xf>
    <xf numFmtId="0" fontId="0" fillId="0" borderId="0" xfId="291" applyFont="1" applyBorder="1" applyAlignment="1">
      <alignment/>
      <protection/>
    </xf>
    <xf numFmtId="0" fontId="0" fillId="0" borderId="0" xfId="291" applyFont="1" applyBorder="1" applyAlignment="1">
      <alignment horizontal="left"/>
      <protection/>
    </xf>
    <xf numFmtId="0" fontId="32" fillId="0" borderId="0" xfId="291" applyFont="1">
      <alignment/>
      <protection/>
    </xf>
    <xf numFmtId="0" fontId="11" fillId="0" borderId="20" xfId="291" applyFont="1" applyBorder="1" applyAlignment="1">
      <alignment horizontal="center" vertical="center"/>
      <protection/>
    </xf>
    <xf numFmtId="0" fontId="11" fillId="47" borderId="20" xfId="291" applyFont="1" applyFill="1" applyBorder="1" applyAlignment="1">
      <alignment horizontal="left" vertical="center"/>
      <protection/>
    </xf>
    <xf numFmtId="9" fontId="32" fillId="0" borderId="0" xfId="303" applyFont="1" applyAlignment="1">
      <alignment vertical="center"/>
    </xf>
    <xf numFmtId="0" fontId="10" fillId="0" borderId="23" xfId="291" applyFont="1" applyBorder="1" applyAlignment="1">
      <alignment horizontal="center" vertical="center"/>
      <protection/>
    </xf>
    <xf numFmtId="0" fontId="32" fillId="0" borderId="0" xfId="291" applyFont="1" applyAlignment="1">
      <alignment vertical="center"/>
      <protection/>
    </xf>
    <xf numFmtId="0" fontId="1" fillId="0" borderId="0" xfId="291" applyFont="1">
      <alignment/>
      <protection/>
    </xf>
    <xf numFmtId="0" fontId="30" fillId="0" borderId="0" xfId="291" applyFont="1" applyBorder="1" applyAlignment="1">
      <alignment horizontal="center" wrapText="1"/>
      <protection/>
    </xf>
    <xf numFmtId="0" fontId="34" fillId="0" borderId="0" xfId="291" applyFont="1" applyBorder="1" applyAlignment="1">
      <alignment wrapText="1"/>
      <protection/>
    </xf>
    <xf numFmtId="0" fontId="30" fillId="0" borderId="0" xfId="291" applyNumberFormat="1" applyFont="1" applyBorder="1" applyAlignment="1">
      <alignment/>
      <protection/>
    </xf>
    <xf numFmtId="0" fontId="85" fillId="0" borderId="0" xfId="291" applyFont="1">
      <alignment/>
      <protection/>
    </xf>
    <xf numFmtId="0" fontId="30" fillId="0" borderId="0" xfId="291" applyNumberFormat="1" applyFont="1" applyBorder="1" applyAlignment="1">
      <alignment horizontal="center"/>
      <protection/>
    </xf>
    <xf numFmtId="0" fontId="10" fillId="0" borderId="0" xfId="291" applyFont="1">
      <alignment/>
      <protection/>
    </xf>
    <xf numFmtId="0" fontId="34" fillId="0" borderId="0" xfId="291" applyFont="1">
      <alignment/>
      <protection/>
    </xf>
    <xf numFmtId="0" fontId="30" fillId="0" borderId="0" xfId="288" applyFont="1" applyAlignment="1">
      <alignment/>
      <protection/>
    </xf>
    <xf numFmtId="49" fontId="24" fillId="0" borderId="0" xfId="291" applyNumberFormat="1" applyFont="1">
      <alignment/>
      <protection/>
    </xf>
    <xf numFmtId="49" fontId="8" fillId="47" borderId="0" xfId="291" applyNumberFormat="1" applyFont="1" applyFill="1" applyBorder="1" applyAlignment="1">
      <alignment horizontal="left"/>
      <protection/>
    </xf>
    <xf numFmtId="49" fontId="8" fillId="0" borderId="0" xfId="291" applyNumberFormat="1" applyFont="1" applyBorder="1" applyAlignment="1">
      <alignment horizontal="left"/>
      <protection/>
    </xf>
    <xf numFmtId="49" fontId="0" fillId="0" borderId="22" xfId="291" applyNumberFormat="1" applyFont="1" applyBorder="1" applyAlignment="1">
      <alignment/>
      <protection/>
    </xf>
    <xf numFmtId="49" fontId="11" fillId="0" borderId="20" xfId="291" applyNumberFormat="1" applyFont="1" applyFill="1" applyBorder="1" applyAlignment="1">
      <alignment horizontal="center" vertical="center" wrapText="1"/>
      <protection/>
    </xf>
    <xf numFmtId="49" fontId="10" fillId="0" borderId="24" xfId="291" applyNumberFormat="1" applyFont="1" applyFill="1" applyBorder="1">
      <alignment/>
      <protection/>
    </xf>
    <xf numFmtId="49" fontId="10" fillId="0" borderId="0" xfId="291" applyNumberFormat="1" applyFont="1" applyFill="1">
      <alignment/>
      <protection/>
    </xf>
    <xf numFmtId="49" fontId="29" fillId="0" borderId="0" xfId="291" applyNumberFormat="1" applyFont="1" applyFill="1">
      <alignment/>
      <protection/>
    </xf>
    <xf numFmtId="49" fontId="11" fillId="0" borderId="25" xfId="291" applyNumberFormat="1" applyFont="1" applyFill="1" applyBorder="1" applyAlignment="1">
      <alignment horizontal="center" vertical="center" wrapText="1"/>
      <protection/>
    </xf>
    <xf numFmtId="49" fontId="24" fillId="0" borderId="20" xfId="291" applyNumberFormat="1" applyFont="1" applyFill="1" applyBorder="1" applyAlignment="1">
      <alignment horizontal="center" vertical="center"/>
      <protection/>
    </xf>
    <xf numFmtId="49" fontId="24" fillId="0" borderId="20" xfId="291" applyNumberFormat="1" applyFont="1" applyBorder="1" applyAlignment="1">
      <alignment horizontal="center" vertical="center"/>
      <protection/>
    </xf>
    <xf numFmtId="49" fontId="10" fillId="0" borderId="0" xfId="291" applyNumberFormat="1" applyFont="1" applyAlignment="1">
      <alignment vertical="center"/>
      <protection/>
    </xf>
    <xf numFmtId="3" fontId="35" fillId="3" borderId="20" xfId="291" applyNumberFormat="1" applyFont="1" applyFill="1" applyBorder="1" applyAlignment="1">
      <alignment horizontal="center" vertical="center"/>
      <protection/>
    </xf>
    <xf numFmtId="3" fontId="75" fillId="3" borderId="20" xfId="291" applyNumberFormat="1" applyFont="1" applyFill="1" applyBorder="1" applyAlignment="1">
      <alignment horizontal="center" vertical="center"/>
      <protection/>
    </xf>
    <xf numFmtId="3" fontId="35" fillId="4" borderId="20" xfId="291" applyNumberFormat="1" applyFont="1" applyFill="1" applyBorder="1" applyAlignment="1">
      <alignment horizontal="center" vertical="center"/>
      <protection/>
    </xf>
    <xf numFmtId="3" fontId="11" fillId="44" borderId="20" xfId="291" applyNumberFormat="1" applyFont="1" applyFill="1" applyBorder="1" applyAlignment="1">
      <alignment horizontal="center" vertical="center"/>
      <protection/>
    </xf>
    <xf numFmtId="49" fontId="11" fillId="0" borderId="20" xfId="291" applyNumberFormat="1" applyFont="1" applyBorder="1" applyAlignment="1">
      <alignment horizontal="center" vertical="center"/>
      <protection/>
    </xf>
    <xf numFmtId="3" fontId="10" fillId="47" borderId="20" xfId="291" applyNumberFormat="1" applyFont="1" applyFill="1" applyBorder="1" applyAlignment="1">
      <alignment horizontal="center" vertical="center"/>
      <protection/>
    </xf>
    <xf numFmtId="49" fontId="11" fillId="0" borderId="23" xfId="291" applyNumberFormat="1" applyFont="1" applyBorder="1" applyAlignment="1">
      <alignment horizontal="center" vertical="center"/>
      <protection/>
    </xf>
    <xf numFmtId="49" fontId="10" fillId="0" borderId="23" xfId="291" applyNumberFormat="1" applyFont="1" applyBorder="1" applyAlignment="1">
      <alignment horizontal="center" vertical="center"/>
      <protection/>
    </xf>
    <xf numFmtId="3" fontId="10" fillId="0" borderId="20" xfId="291" applyNumberFormat="1" applyFont="1" applyBorder="1" applyAlignment="1">
      <alignment horizontal="center" vertical="center"/>
      <protection/>
    </xf>
    <xf numFmtId="49" fontId="93" fillId="0" borderId="0" xfId="291" applyNumberFormat="1" applyFont="1">
      <alignment/>
      <protection/>
    </xf>
    <xf numFmtId="49" fontId="32" fillId="0" borderId="0" xfId="291" applyNumberFormat="1">
      <alignment/>
      <protection/>
    </xf>
    <xf numFmtId="49" fontId="34" fillId="0" borderId="0" xfId="291" applyNumberFormat="1" applyFont="1" applyBorder="1" applyAlignment="1">
      <alignment wrapText="1"/>
      <protection/>
    </xf>
    <xf numFmtId="49" fontId="26" fillId="0" borderId="0" xfId="291" applyNumberFormat="1" applyFont="1">
      <alignment/>
      <protection/>
    </xf>
    <xf numFmtId="49" fontId="37" fillId="0" borderId="0" xfId="291" applyNumberFormat="1" applyFont="1">
      <alignment/>
      <protection/>
    </xf>
    <xf numFmtId="49" fontId="37" fillId="0" borderId="0" xfId="291" applyNumberFormat="1" applyFont="1" applyAlignment="1">
      <alignment horizontal="center"/>
      <protection/>
    </xf>
    <xf numFmtId="0" fontId="8" fillId="0" borderId="0" xfId="291" applyNumberFormat="1" applyFont="1" applyAlignment="1">
      <alignment horizontal="left"/>
      <protection/>
    </xf>
    <xf numFmtId="0" fontId="10" fillId="0" borderId="0" xfId="291" applyFont="1" applyAlignment="1">
      <alignment/>
      <protection/>
    </xf>
    <xf numFmtId="3" fontId="10" fillId="0" borderId="0" xfId="291" applyNumberFormat="1" applyFont="1">
      <alignment/>
      <protection/>
    </xf>
    <xf numFmtId="0" fontId="12" fillId="0" borderId="0" xfId="291" applyFont="1" applyBorder="1" applyAlignment="1">
      <alignment/>
      <protection/>
    </xf>
    <xf numFmtId="0" fontId="32" fillId="0" borderId="24" xfId="291" applyFont="1" applyBorder="1">
      <alignment/>
      <protection/>
    </xf>
    <xf numFmtId="0" fontId="32" fillId="0" borderId="0" xfId="291" applyFont="1" applyBorder="1">
      <alignment/>
      <protection/>
    </xf>
    <xf numFmtId="0" fontId="17" fillId="0" borderId="20" xfId="291" applyFont="1" applyBorder="1" applyAlignment="1">
      <alignment horizontal="center" vertical="center" wrapText="1"/>
      <protection/>
    </xf>
    <xf numFmtId="0" fontId="24" fillId="0" borderId="23" xfId="291" applyFont="1" applyFill="1" applyBorder="1" applyAlignment="1">
      <alignment horizontal="center" vertical="center"/>
      <protection/>
    </xf>
    <xf numFmtId="0" fontId="24" fillId="0" borderId="20" xfId="291" applyFont="1" applyFill="1" applyBorder="1" applyAlignment="1">
      <alignment horizontal="center" vertical="center"/>
      <protection/>
    </xf>
    <xf numFmtId="0" fontId="24" fillId="0" borderId="20" xfId="291" applyFont="1" applyBorder="1" applyAlignment="1">
      <alignment horizontal="center" vertical="center"/>
      <protection/>
    </xf>
    <xf numFmtId="3" fontId="25" fillId="3" borderId="20" xfId="291" applyNumberFormat="1" applyFont="1" applyFill="1" applyBorder="1" applyAlignment="1">
      <alignment horizontal="center" vertical="center"/>
      <protection/>
    </xf>
    <xf numFmtId="3" fontId="41" fillId="3" borderId="20" xfId="291" applyNumberFormat="1" applyFont="1" applyFill="1" applyBorder="1" applyAlignment="1">
      <alignment horizontal="center" vertical="center"/>
      <protection/>
    </xf>
    <xf numFmtId="3" fontId="7" fillId="44" borderId="23" xfId="291" applyNumberFormat="1" applyFont="1" applyFill="1" applyBorder="1" applyAlignment="1">
      <alignment horizontal="center" vertical="center"/>
      <protection/>
    </xf>
    <xf numFmtId="3" fontId="0" fillId="48" borderId="23" xfId="291" applyNumberFormat="1" applyFont="1" applyFill="1" applyBorder="1" applyAlignment="1">
      <alignment horizontal="center" vertical="center"/>
      <protection/>
    </xf>
    <xf numFmtId="3" fontId="0" fillId="0" borderId="20" xfId="291" applyNumberFormat="1" applyFont="1" applyBorder="1" applyAlignment="1">
      <alignment horizontal="center" vertical="center"/>
      <protection/>
    </xf>
    <xf numFmtId="3" fontId="0" fillId="0" borderId="26" xfId="291" applyNumberFormat="1" applyFont="1" applyBorder="1" applyAlignment="1">
      <alignment horizontal="center" vertical="center"/>
      <protection/>
    </xf>
    <xf numFmtId="0" fontId="11" fillId="0" borderId="23" xfId="291" applyFont="1" applyBorder="1" applyAlignment="1">
      <alignment horizontal="center" vertical="center"/>
      <protection/>
    </xf>
    <xf numFmtId="3" fontId="0" fillId="44" borderId="23" xfId="291" applyNumberFormat="1" applyFont="1" applyFill="1" applyBorder="1" applyAlignment="1">
      <alignment horizontal="center" vertical="center"/>
      <protection/>
    </xf>
    <xf numFmtId="3" fontId="0" fillId="47" borderId="20" xfId="291" applyNumberFormat="1" applyFont="1" applyFill="1" applyBorder="1" applyAlignment="1">
      <alignment horizontal="center" vertical="center"/>
      <protection/>
    </xf>
    <xf numFmtId="3" fontId="0" fillId="47" borderId="26" xfId="291" applyNumberFormat="1" applyFont="1" applyFill="1" applyBorder="1" applyAlignment="1">
      <alignment horizontal="center" vertical="center"/>
      <protection/>
    </xf>
    <xf numFmtId="0" fontId="34" fillId="0" borderId="0" xfId="291" applyNumberFormat="1" applyFont="1" applyBorder="1" applyAlignment="1">
      <alignment/>
      <protection/>
    </xf>
    <xf numFmtId="0" fontId="94" fillId="0" borderId="0" xfId="291" applyFont="1">
      <alignment/>
      <protection/>
    </xf>
    <xf numFmtId="0" fontId="21" fillId="0" borderId="0" xfId="291" applyFont="1">
      <alignment/>
      <protection/>
    </xf>
    <xf numFmtId="0" fontId="33" fillId="0" borderId="0" xfId="291" applyFont="1">
      <alignment/>
      <protection/>
    </xf>
    <xf numFmtId="0" fontId="18" fillId="0" borderId="0" xfId="291" applyFont="1">
      <alignment/>
      <protection/>
    </xf>
    <xf numFmtId="49" fontId="18" fillId="0" borderId="0" xfId="291" applyNumberFormat="1" applyFont="1">
      <alignment/>
      <protection/>
    </xf>
    <xf numFmtId="0" fontId="87" fillId="0" borderId="0" xfId="291" applyFont="1">
      <alignment/>
      <protection/>
    </xf>
    <xf numFmtId="49" fontId="23" fillId="0" borderId="0" xfId="291" applyNumberFormat="1" applyFont="1" applyBorder="1" applyAlignment="1">
      <alignment/>
      <protection/>
    </xf>
    <xf numFmtId="49" fontId="32" fillId="0" borderId="0" xfId="291" applyNumberFormat="1" applyFont="1" applyAlignment="1">
      <alignment horizontal="center"/>
      <protection/>
    </xf>
    <xf numFmtId="3" fontId="24" fillId="47" borderId="22" xfId="291" applyNumberFormat="1" applyFont="1" applyFill="1" applyBorder="1" applyAlignment="1">
      <alignment horizontal="center"/>
      <protection/>
    </xf>
    <xf numFmtId="49" fontId="10" fillId="0" borderId="22" xfId="291" applyNumberFormat="1" applyFont="1" applyBorder="1" applyAlignment="1">
      <alignment/>
      <protection/>
    </xf>
    <xf numFmtId="49" fontId="32" fillId="0" borderId="0" xfId="291" applyNumberFormat="1" applyFill="1">
      <alignment/>
      <protection/>
    </xf>
    <xf numFmtId="49" fontId="32" fillId="0" borderId="0" xfId="291" applyNumberFormat="1" applyFill="1" applyAlignment="1">
      <alignment vertical="center" wrapText="1"/>
      <protection/>
    </xf>
    <xf numFmtId="49" fontId="32" fillId="0" borderId="0" xfId="291" applyNumberFormat="1" applyAlignment="1">
      <alignment vertical="center"/>
      <protection/>
    </xf>
    <xf numFmtId="3" fontId="10" fillId="44" borderId="20" xfId="291" applyNumberFormat="1" applyFont="1" applyFill="1" applyBorder="1" applyAlignment="1">
      <alignment horizontal="center" vertical="center"/>
      <protection/>
    </xf>
    <xf numFmtId="3" fontId="32" fillId="0" borderId="20" xfId="291" applyNumberFormat="1" applyFont="1" applyBorder="1" applyAlignment="1">
      <alignment horizontal="center" vertical="center"/>
      <protection/>
    </xf>
    <xf numFmtId="0" fontId="10" fillId="0" borderId="20" xfId="291" applyFont="1" applyBorder="1" applyAlignment="1">
      <alignment horizontal="center" vertical="center"/>
      <protection/>
    </xf>
    <xf numFmtId="3" fontId="10" fillId="0" borderId="20" xfId="291" applyNumberFormat="1" applyFont="1" applyFill="1" applyBorder="1" applyAlignment="1">
      <alignment horizontal="center" vertical="center"/>
      <protection/>
    </xf>
    <xf numFmtId="3" fontId="32" fillId="0" borderId="20" xfId="291" applyNumberFormat="1" applyFont="1" applyFill="1" applyBorder="1" applyAlignment="1">
      <alignment horizontal="center" vertical="center"/>
      <protection/>
    </xf>
    <xf numFmtId="49" fontId="32" fillId="0" borderId="0" xfId="291" applyNumberFormat="1" applyAlignment="1">
      <alignment horizontal="center"/>
      <protection/>
    </xf>
    <xf numFmtId="49" fontId="78" fillId="0" borderId="0" xfId="291" applyNumberFormat="1" applyFont="1" applyAlignment="1">
      <alignment horizontal="left"/>
      <protection/>
    </xf>
    <xf numFmtId="49" fontId="37" fillId="0" borderId="0" xfId="291" applyNumberFormat="1" applyFont="1" applyAlignment="1">
      <alignment/>
      <protection/>
    </xf>
    <xf numFmtId="49" fontId="7" fillId="47" borderId="0" xfId="291" applyNumberFormat="1" applyFont="1" applyFill="1" applyBorder="1" applyAlignment="1">
      <alignment/>
      <protection/>
    </xf>
    <xf numFmtId="49" fontId="7" fillId="0" borderId="0" xfId="291" applyNumberFormat="1" applyFont="1" applyAlignment="1">
      <alignment/>
      <protection/>
    </xf>
    <xf numFmtId="49" fontId="7" fillId="0" borderId="0" xfId="291" applyNumberFormat="1" applyFont="1" applyBorder="1" applyAlignment="1">
      <alignment/>
      <protection/>
    </xf>
    <xf numFmtId="49" fontId="11" fillId="0" borderId="22" xfId="291" applyNumberFormat="1" applyFont="1" applyBorder="1" applyAlignment="1">
      <alignment/>
      <protection/>
    </xf>
    <xf numFmtId="3" fontId="24" fillId="0" borderId="20" xfId="291" applyNumberFormat="1" applyFont="1" applyBorder="1" applyAlignment="1">
      <alignment horizontal="center" vertical="center"/>
      <protection/>
    </xf>
    <xf numFmtId="49" fontId="32" fillId="47" borderId="0" xfId="291" applyNumberFormat="1" applyFont="1" applyFill="1" applyAlignment="1">
      <alignment vertical="center"/>
      <protection/>
    </xf>
    <xf numFmtId="3" fontId="32" fillId="47" borderId="20" xfId="291" applyNumberFormat="1" applyFont="1" applyFill="1" applyBorder="1" applyAlignment="1">
      <alignment horizontal="center" vertical="center"/>
      <protection/>
    </xf>
    <xf numFmtId="3" fontId="97" fillId="0" borderId="20" xfId="291" applyNumberFormat="1" applyFont="1" applyBorder="1" applyAlignment="1">
      <alignment horizontal="center" vertical="center"/>
      <protection/>
    </xf>
    <xf numFmtId="0" fontId="10" fillId="0" borderId="19" xfId="291" applyFont="1" applyFill="1" applyBorder="1" applyAlignment="1">
      <alignment horizontal="center" vertical="center"/>
      <protection/>
    </xf>
    <xf numFmtId="49" fontId="11" fillId="0" borderId="19" xfId="288" applyNumberFormat="1" applyFont="1" applyFill="1" applyBorder="1" applyAlignment="1">
      <alignment horizontal="left" vertical="center"/>
      <protection/>
    </xf>
    <xf numFmtId="3" fontId="10" fillId="0" borderId="19" xfId="291" applyNumberFormat="1" applyFont="1" applyFill="1" applyBorder="1" applyAlignment="1">
      <alignment horizontal="center" vertical="center"/>
      <protection/>
    </xf>
    <xf numFmtId="3" fontId="24" fillId="0" borderId="19" xfId="291" applyNumberFormat="1" applyFont="1" applyFill="1" applyBorder="1" applyAlignment="1">
      <alignment horizontal="center" vertical="center"/>
      <protection/>
    </xf>
    <xf numFmtId="3" fontId="32" fillId="0" borderId="19" xfId="291" applyNumberFormat="1" applyFont="1" applyFill="1" applyBorder="1" applyAlignment="1">
      <alignment vertical="center"/>
      <protection/>
    </xf>
    <xf numFmtId="3" fontId="98" fillId="0" borderId="19" xfId="291" applyNumberFormat="1" applyFont="1" applyFill="1" applyBorder="1" applyAlignment="1">
      <alignment vertical="center"/>
      <protection/>
    </xf>
    <xf numFmtId="49" fontId="37" fillId="0" borderId="0" xfId="291" applyNumberFormat="1" applyFont="1" applyBorder="1" applyAlignment="1">
      <alignment/>
      <protection/>
    </xf>
    <xf numFmtId="49" fontId="34" fillId="0" borderId="0" xfId="291" applyNumberFormat="1" applyFont="1" applyBorder="1" applyAlignment="1">
      <alignment horizontal="center"/>
      <protection/>
    </xf>
    <xf numFmtId="49" fontId="34" fillId="0" borderId="0" xfId="291" applyNumberFormat="1" applyFont="1" applyAlignment="1">
      <alignment/>
      <protection/>
    </xf>
    <xf numFmtId="0" fontId="10" fillId="47" borderId="0" xfId="291" applyFont="1" applyFill="1" applyBorder="1" applyAlignment="1">
      <alignment/>
      <protection/>
    </xf>
    <xf numFmtId="49" fontId="99" fillId="0" borderId="0" xfId="291" applyNumberFormat="1" applyFont="1">
      <alignment/>
      <protection/>
    </xf>
    <xf numFmtId="49" fontId="100" fillId="0" borderId="0" xfId="291" applyNumberFormat="1" applyFont="1">
      <alignment/>
      <protection/>
    </xf>
    <xf numFmtId="49" fontId="101" fillId="0" borderId="0" xfId="291" applyNumberFormat="1" applyFont="1" applyAlignment="1">
      <alignment horizontal="center"/>
      <protection/>
    </xf>
    <xf numFmtId="49" fontId="30" fillId="47" borderId="0" xfId="288" applyNumberFormat="1" applyFont="1" applyFill="1" applyAlignment="1">
      <alignment/>
      <protection/>
    </xf>
    <xf numFmtId="49" fontId="86" fillId="0" borderId="0" xfId="291" applyNumberFormat="1" applyFont="1">
      <alignment/>
      <protection/>
    </xf>
    <xf numFmtId="49" fontId="37" fillId="0" borderId="0" xfId="291" applyNumberFormat="1" applyFont="1" applyBorder="1" applyAlignment="1">
      <alignment wrapText="1"/>
      <protection/>
    </xf>
    <xf numFmtId="49" fontId="89" fillId="0" borderId="0" xfId="291" applyNumberFormat="1" applyFont="1">
      <alignment/>
      <protection/>
    </xf>
    <xf numFmtId="49" fontId="84" fillId="0" borderId="0" xfId="291" applyNumberFormat="1" applyFont="1">
      <alignment/>
      <protection/>
    </xf>
    <xf numFmtId="49" fontId="19" fillId="0" borderId="0" xfId="291" applyNumberFormat="1" applyFont="1" applyFill="1" applyAlignment="1">
      <alignment wrapText="1"/>
      <protection/>
    </xf>
    <xf numFmtId="49" fontId="0" fillId="0" borderId="0" xfId="291" applyNumberFormat="1" applyFont="1" applyFill="1" applyBorder="1" applyAlignment="1">
      <alignment/>
      <protection/>
    </xf>
    <xf numFmtId="49" fontId="7" fillId="0" borderId="0" xfId="291" applyNumberFormat="1" applyFont="1" applyFill="1" applyBorder="1" applyAlignment="1">
      <alignment/>
      <protection/>
    </xf>
    <xf numFmtId="49" fontId="102" fillId="0" borderId="0" xfId="291" applyNumberFormat="1" applyFont="1" applyFill="1">
      <alignment/>
      <protection/>
    </xf>
    <xf numFmtId="49" fontId="32" fillId="0" borderId="0" xfId="291" applyNumberFormat="1" applyFont="1" applyFill="1" applyAlignment="1">
      <alignment horizontal="center"/>
      <protection/>
    </xf>
    <xf numFmtId="49" fontId="24" fillId="0" borderId="0" xfId="291" applyNumberFormat="1" applyFont="1" applyFill="1" applyBorder="1" applyAlignment="1">
      <alignment/>
      <protection/>
    </xf>
    <xf numFmtId="49" fontId="11" fillId="0" borderId="0" xfId="291" applyNumberFormat="1" applyFont="1" applyFill="1" applyBorder="1" applyAlignment="1">
      <alignment/>
      <protection/>
    </xf>
    <xf numFmtId="49" fontId="88" fillId="0" borderId="0" xfId="291" applyNumberFormat="1" applyFont="1" applyFill="1">
      <alignment/>
      <protection/>
    </xf>
    <xf numFmtId="49" fontId="88" fillId="0" borderId="0" xfId="291" applyNumberFormat="1" applyFont="1" applyFill="1" applyAlignment="1">
      <alignment/>
      <protection/>
    </xf>
    <xf numFmtId="49" fontId="24" fillId="0" borderId="27" xfId="291" applyNumberFormat="1" applyFont="1" applyFill="1" applyBorder="1" applyAlignment="1">
      <alignment horizontal="center" vertical="center"/>
      <protection/>
    </xf>
    <xf numFmtId="3" fontId="11" fillId="44" borderId="27" xfId="291" applyNumberFormat="1" applyFont="1" applyFill="1" applyBorder="1" applyAlignment="1">
      <alignment horizontal="center" vertical="center"/>
      <protection/>
    </xf>
    <xf numFmtId="3" fontId="11" fillId="44" borderId="23" xfId="291" applyNumberFormat="1" applyFont="1" applyFill="1" applyBorder="1" applyAlignment="1">
      <alignment horizontal="center" vertical="center"/>
      <protection/>
    </xf>
    <xf numFmtId="49" fontId="7" fillId="0" borderId="0" xfId="291" applyNumberFormat="1" applyFont="1" applyAlignment="1">
      <alignment horizontal="center"/>
      <protection/>
    </xf>
    <xf numFmtId="49" fontId="30" fillId="0" borderId="0" xfId="291" applyNumberFormat="1" applyFont="1">
      <alignment/>
      <protection/>
    </xf>
    <xf numFmtId="49" fontId="7" fillId="0" borderId="0" xfId="291" applyNumberFormat="1" applyFont="1">
      <alignment/>
      <protection/>
    </xf>
    <xf numFmtId="49" fontId="34" fillId="0" borderId="0" xfId="291" applyNumberFormat="1" applyFont="1">
      <alignment/>
      <protection/>
    </xf>
    <xf numFmtId="3" fontId="7" fillId="47" borderId="0" xfId="291" applyNumberFormat="1" applyFont="1" applyFill="1" applyBorder="1" applyAlignment="1">
      <alignment/>
      <protection/>
    </xf>
    <xf numFmtId="0" fontId="7" fillId="0" borderId="0" xfId="291" applyFont="1">
      <alignment/>
      <protection/>
    </xf>
    <xf numFmtId="0" fontId="8" fillId="0" borderId="0" xfId="291" applyFont="1" applyBorder="1" applyAlignment="1">
      <alignment horizontal="left"/>
      <protection/>
    </xf>
    <xf numFmtId="3" fontId="0" fillId="0" borderId="0" xfId="291" applyNumberFormat="1" applyFont="1" applyAlignment="1">
      <alignment horizontal="left"/>
      <protection/>
    </xf>
    <xf numFmtId="0" fontId="18" fillId="0" borderId="0" xfId="291" applyFont="1" applyBorder="1" applyAlignment="1">
      <alignment/>
      <protection/>
    </xf>
    <xf numFmtId="0" fontId="12" fillId="0" borderId="20" xfId="291" applyFont="1" applyFill="1" applyBorder="1" applyAlignment="1">
      <alignment horizontal="center" vertical="center" wrapText="1"/>
      <protection/>
    </xf>
    <xf numFmtId="0" fontId="7" fillId="0" borderId="0" xfId="291" applyFont="1" applyFill="1" applyBorder="1">
      <alignment/>
      <protection/>
    </xf>
    <xf numFmtId="0" fontId="7" fillId="0" borderId="0" xfId="291" applyFont="1" applyFill="1">
      <alignment/>
      <protection/>
    </xf>
    <xf numFmtId="3" fontId="23" fillId="0" borderId="20" xfId="291" applyNumberFormat="1" applyFont="1" applyBorder="1" applyAlignment="1">
      <alignment horizontal="center" vertical="center"/>
      <protection/>
    </xf>
    <xf numFmtId="0" fontId="0" fillId="0" borderId="0" xfId="291" applyFont="1" applyAlignment="1">
      <alignment horizontal="center" vertical="center"/>
      <protection/>
    </xf>
    <xf numFmtId="3" fontId="8" fillId="44" borderId="20" xfId="291" applyNumberFormat="1" applyFont="1" applyFill="1" applyBorder="1" applyAlignment="1">
      <alignment horizontal="center" vertical="center"/>
      <protection/>
    </xf>
    <xf numFmtId="0" fontId="7" fillId="0" borderId="0" xfId="291" applyFont="1" applyAlignment="1">
      <alignment vertical="center"/>
      <protection/>
    </xf>
    <xf numFmtId="9" fontId="7" fillId="0" borderId="0" xfId="303" applyFont="1" applyAlignment="1">
      <alignment vertical="center"/>
    </xf>
    <xf numFmtId="0" fontId="7" fillId="0" borderId="0" xfId="291" applyFont="1" applyAlignment="1">
      <alignment horizontal="center"/>
      <protection/>
    </xf>
    <xf numFmtId="0" fontId="30" fillId="0" borderId="0" xfId="291" applyFont="1">
      <alignment/>
      <protection/>
    </xf>
    <xf numFmtId="0" fontId="78" fillId="0" borderId="0" xfId="291" applyFont="1" applyAlignment="1">
      <alignment horizontal="center"/>
      <protection/>
    </xf>
    <xf numFmtId="49" fontId="58" fillId="0" borderId="0" xfId="291" applyNumberFormat="1" applyFont="1">
      <alignment/>
      <protection/>
    </xf>
    <xf numFmtId="49" fontId="103" fillId="0" borderId="0" xfId="291" applyNumberFormat="1" applyFont="1" applyBorder="1" applyAlignment="1">
      <alignment wrapText="1"/>
      <protection/>
    </xf>
    <xf numFmtId="0" fontId="37" fillId="0" borderId="0" xfId="291"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28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28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28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285"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28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285" applyNumberFormat="1" applyFont="1" applyFill="1" applyBorder="1" applyAlignment="1" applyProtection="1">
      <alignment horizontal="center" vertical="center"/>
      <protection/>
    </xf>
    <xf numFmtId="10" fontId="34" fillId="0" borderId="20" xfId="162" applyNumberFormat="1" applyFont="1" applyFill="1" applyBorder="1" applyAlignment="1">
      <alignment horizontal="center" vertical="center"/>
      <protection/>
    </xf>
    <xf numFmtId="10" fontId="58" fillId="0" borderId="20" xfId="16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62" applyNumberFormat="1" applyFont="1" applyFill="1" applyBorder="1" applyAlignment="1">
      <alignment horizontal="center" vertical="center"/>
      <protection/>
    </xf>
    <xf numFmtId="3" fontId="63" fillId="47" borderId="20" xfId="285"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285" applyNumberFormat="1" applyFont="1" applyFill="1" applyBorder="1" applyAlignment="1" applyProtection="1">
      <alignment horizontal="center" vertical="center"/>
      <protection/>
    </xf>
    <xf numFmtId="10" fontId="63" fillId="0" borderId="36" xfId="16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285" applyNumberFormat="1" applyFont="1" applyFill="1" applyBorder="1" applyAlignment="1" applyProtection="1">
      <alignment horizontal="center" vertical="center"/>
      <protection/>
    </xf>
    <xf numFmtId="3" fontId="8" fillId="47" borderId="37" xfId="285"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62"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285" applyNumberFormat="1" applyFont="1" applyFill="1" applyBorder="1" applyAlignment="1" applyProtection="1">
      <alignment horizontal="center" vertical="center"/>
      <protection/>
    </xf>
    <xf numFmtId="3" fontId="8" fillId="47" borderId="26" xfId="28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285"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28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10" fontId="0" fillId="0" borderId="20" xfId="162"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285"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62"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Border="1" applyAlignment="1">
      <alignment horizontal="center"/>
    </xf>
    <xf numFmtId="3" fontId="12" fillId="4" borderId="20" xfId="285"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62"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25" fillId="49" borderId="20" xfId="0" applyFont="1" applyFill="1" applyBorder="1" applyAlignment="1">
      <alignment/>
    </xf>
    <xf numFmtId="0" fontId="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289" applyNumberFormat="1" applyFont="1" applyFill="1">
      <alignment/>
      <protection/>
    </xf>
    <xf numFmtId="49" fontId="0" fillId="0" borderId="0" xfId="292" applyNumberFormat="1" applyFont="1" applyFill="1" applyAlignment="1">
      <alignment horizontal="left"/>
      <protection/>
    </xf>
    <xf numFmtId="49" fontId="19" fillId="0" borderId="0" xfId="292" applyNumberFormat="1" applyFont="1" applyFill="1" applyAlignment="1">
      <alignment wrapText="1"/>
      <protection/>
    </xf>
    <xf numFmtId="49" fontId="7" fillId="0" borderId="0" xfId="292" applyNumberFormat="1" applyFont="1" applyFill="1" applyBorder="1" applyAlignment="1">
      <alignment horizontal="left"/>
      <protection/>
    </xf>
    <xf numFmtId="49" fontId="0" fillId="0" borderId="0" xfId="292" applyNumberFormat="1" applyFont="1" applyFill="1" applyBorder="1" applyAlignment="1">
      <alignment horizontal="left"/>
      <protection/>
    </xf>
    <xf numFmtId="49" fontId="32" fillId="0" borderId="0" xfId="292" applyNumberFormat="1" applyFont="1" applyFill="1">
      <alignment/>
      <protection/>
    </xf>
    <xf numFmtId="49" fontId="0" fillId="0" borderId="0" xfId="292" applyNumberFormat="1" applyFont="1" applyFill="1" applyBorder="1" applyAlignment="1">
      <alignment/>
      <protection/>
    </xf>
    <xf numFmtId="49" fontId="20" fillId="0" borderId="0" xfId="292" applyNumberFormat="1" applyFont="1" applyFill="1" applyAlignment="1">
      <alignment/>
      <protection/>
    </xf>
    <xf numFmtId="49" fontId="23" fillId="0" borderId="0" xfId="292" applyNumberFormat="1" applyFont="1" applyFill="1" applyBorder="1" applyAlignment="1">
      <alignment/>
      <protection/>
    </xf>
    <xf numFmtId="49" fontId="23" fillId="0" borderId="22" xfId="292" applyNumberFormat="1" applyFont="1" applyFill="1" applyBorder="1" applyAlignment="1">
      <alignment horizontal="left"/>
      <protection/>
    </xf>
    <xf numFmtId="49" fontId="32" fillId="0" borderId="0" xfId="292" applyNumberFormat="1" applyFont="1" applyFill="1" applyBorder="1">
      <alignment/>
      <protection/>
    </xf>
    <xf numFmtId="49" fontId="17" fillId="0" borderId="0" xfId="292" applyNumberFormat="1" applyFont="1" applyFill="1" applyBorder="1" applyAlignment="1">
      <alignment vertical="justify" textRotation="90" wrapText="1"/>
      <protection/>
    </xf>
    <xf numFmtId="49" fontId="80" fillId="0" borderId="26" xfId="292" applyNumberFormat="1" applyFont="1" applyFill="1" applyBorder="1" applyAlignment="1">
      <alignment wrapText="1"/>
      <protection/>
    </xf>
    <xf numFmtId="49" fontId="80" fillId="0" borderId="25" xfId="292" applyNumberFormat="1" applyFont="1" applyFill="1" applyBorder="1" applyAlignment="1">
      <alignment wrapText="1"/>
      <protection/>
    </xf>
    <xf numFmtId="49" fontId="108" fillId="0" borderId="37" xfId="292" applyNumberFormat="1" applyFont="1" applyFill="1" applyBorder="1" applyAlignment="1">
      <alignment horizontal="center" wrapText="1"/>
      <protection/>
    </xf>
    <xf numFmtId="49" fontId="24" fillId="0" borderId="23" xfId="292" applyNumberFormat="1" applyFont="1" applyFill="1" applyBorder="1" applyAlignment="1">
      <alignment horizontal="center"/>
      <protection/>
    </xf>
    <xf numFmtId="49" fontId="1" fillId="0" borderId="0" xfId="292" applyNumberFormat="1" applyFont="1" applyFill="1">
      <alignment/>
      <protection/>
    </xf>
    <xf numFmtId="49" fontId="85" fillId="0" borderId="0" xfId="292" applyNumberFormat="1" applyFont="1" applyFill="1">
      <alignment/>
      <protection/>
    </xf>
    <xf numFmtId="49" fontId="10" fillId="0" borderId="0" xfId="292" applyNumberFormat="1" applyFont="1" applyFill="1">
      <alignment/>
      <protection/>
    </xf>
    <xf numFmtId="49" fontId="21" fillId="0" borderId="0" xfId="292" applyNumberFormat="1" applyFont="1" applyFill="1" applyAlignment="1">
      <alignment horizontal="left"/>
      <protection/>
    </xf>
    <xf numFmtId="49" fontId="18" fillId="0" borderId="0" xfId="292" applyNumberFormat="1" applyFont="1" applyFill="1" applyBorder="1" applyAlignment="1">
      <alignment wrapText="1"/>
      <protection/>
    </xf>
    <xf numFmtId="49" fontId="87" fillId="0" borderId="0" xfId="292" applyNumberFormat="1" applyFont="1" applyFill="1">
      <alignment/>
      <protection/>
    </xf>
    <xf numFmtId="49" fontId="18" fillId="0" borderId="0" xfId="292" applyNumberFormat="1" applyFont="1" applyFill="1" applyAlignment="1">
      <alignment horizontal="left"/>
      <protection/>
    </xf>
    <xf numFmtId="49" fontId="8" fillId="0" borderId="0" xfId="292" applyNumberFormat="1" applyFont="1" applyFill="1" applyAlignment="1">
      <alignment horizontal="left"/>
      <protection/>
    </xf>
    <xf numFmtId="49" fontId="87" fillId="0" borderId="0" xfId="292" applyNumberFormat="1" applyFont="1" applyFill="1" applyAlignment="1">
      <alignment horizontal="left"/>
      <protection/>
    </xf>
    <xf numFmtId="49" fontId="8" fillId="0" borderId="0" xfId="292" applyNumberFormat="1" applyFont="1" applyFill="1">
      <alignment/>
      <protection/>
    </xf>
    <xf numFmtId="9" fontId="32" fillId="0" borderId="0" xfId="312" applyFont="1" applyFill="1" applyAlignment="1">
      <alignment/>
    </xf>
    <xf numFmtId="0" fontId="0" fillId="0" borderId="0" xfId="292" applyNumberFormat="1" applyFont="1" applyFill="1" applyAlignment="1">
      <alignment horizontal="left"/>
      <protection/>
    </xf>
    <xf numFmtId="0" fontId="19" fillId="0" borderId="0" xfId="292" applyNumberFormat="1" applyFont="1" applyFill="1" applyAlignment="1">
      <alignment wrapText="1"/>
      <protection/>
    </xf>
    <xf numFmtId="0" fontId="32" fillId="0" borderId="0" xfId="292" applyFont="1" applyFill="1">
      <alignment/>
      <protection/>
    </xf>
    <xf numFmtId="0" fontId="0" fillId="0" borderId="0" xfId="292" applyFont="1" applyFill="1" applyAlignment="1">
      <alignment horizontal="left"/>
      <protection/>
    </xf>
    <xf numFmtId="0" fontId="20" fillId="0" borderId="0" xfId="292" applyFont="1" applyFill="1" applyAlignment="1">
      <alignment/>
      <protection/>
    </xf>
    <xf numFmtId="0" fontId="0" fillId="0" borderId="0" xfId="292" applyFont="1" applyFill="1" applyBorder="1" applyAlignment="1">
      <alignment horizontal="left"/>
      <protection/>
    </xf>
    <xf numFmtId="0" fontId="23" fillId="0" borderId="22" xfId="292" applyFont="1" applyFill="1" applyBorder="1" applyAlignment="1">
      <alignment horizontal="left"/>
      <protection/>
    </xf>
    <xf numFmtId="0" fontId="31" fillId="0" borderId="20" xfId="292" applyFont="1" applyFill="1" applyBorder="1" applyAlignment="1">
      <alignment horizontal="center" vertical="center" wrapText="1"/>
      <protection/>
    </xf>
    <xf numFmtId="0" fontId="32" fillId="0" borderId="0" xfId="292" applyFont="1" applyFill="1" applyAlignment="1">
      <alignment vertical="center"/>
      <protection/>
    </xf>
    <xf numFmtId="0" fontId="80" fillId="0" borderId="26" xfId="292" applyFont="1" applyFill="1" applyBorder="1" applyAlignment="1">
      <alignment wrapText="1"/>
      <protection/>
    </xf>
    <xf numFmtId="0" fontId="80" fillId="0" borderId="25" xfId="292" applyFont="1" applyFill="1" applyBorder="1" applyAlignment="1">
      <alignment wrapText="1"/>
      <protection/>
    </xf>
    <xf numFmtId="3" fontId="108" fillId="0" borderId="37" xfId="292" applyNumberFormat="1" applyFont="1" applyFill="1" applyBorder="1" applyAlignment="1">
      <alignment horizontal="center" wrapText="1"/>
      <protection/>
    </xf>
    <xf numFmtId="0" fontId="24" fillId="0" borderId="23" xfId="292" applyFont="1" applyFill="1" applyBorder="1" applyAlignment="1">
      <alignment horizontal="center"/>
      <protection/>
    </xf>
    <xf numFmtId="0" fontId="108" fillId="0" borderId="37" xfId="292" applyFont="1" applyFill="1" applyBorder="1" applyAlignment="1">
      <alignment horizontal="center" wrapText="1"/>
      <protection/>
    </xf>
    <xf numFmtId="0" fontId="1" fillId="0" borderId="0" xfId="292" applyFont="1" applyFill="1">
      <alignment/>
      <protection/>
    </xf>
    <xf numFmtId="0" fontId="37" fillId="0" borderId="0" xfId="292" applyNumberFormat="1" applyFont="1" applyFill="1" applyBorder="1" applyAlignment="1">
      <alignment/>
      <protection/>
    </xf>
    <xf numFmtId="0" fontId="89" fillId="0" borderId="0" xfId="292" applyFont="1" applyFill="1">
      <alignment/>
      <protection/>
    </xf>
    <xf numFmtId="0" fontId="34" fillId="0" borderId="0" xfId="292" applyFont="1" applyFill="1" applyBorder="1" applyAlignment="1">
      <alignment wrapText="1"/>
      <protection/>
    </xf>
    <xf numFmtId="0" fontId="30" fillId="0" borderId="0" xfId="292" applyNumberFormat="1" applyFont="1" applyFill="1" applyBorder="1" applyAlignment="1">
      <alignment/>
      <protection/>
    </xf>
    <xf numFmtId="0" fontId="85" fillId="0" borderId="0" xfId="292" applyFont="1" applyFill="1">
      <alignment/>
      <protection/>
    </xf>
    <xf numFmtId="0" fontId="30" fillId="0" borderId="0" xfId="292" applyNumberFormat="1" applyFont="1" applyFill="1" applyBorder="1" applyAlignment="1">
      <alignment horizontal="center" wrapText="1"/>
      <protection/>
    </xf>
    <xf numFmtId="0" fontId="30" fillId="0" borderId="0" xfId="292" applyNumberFormat="1" applyFont="1" applyFill="1" applyBorder="1" applyAlignment="1">
      <alignment horizontal="center"/>
      <protection/>
    </xf>
    <xf numFmtId="0" fontId="10" fillId="0" borderId="0" xfId="292" applyFont="1" applyFill="1">
      <alignment/>
      <protection/>
    </xf>
    <xf numFmtId="0" fontId="34" fillId="0" borderId="0" xfId="292" applyFont="1" applyFill="1">
      <alignment/>
      <protection/>
    </xf>
    <xf numFmtId="0" fontId="30" fillId="0" borderId="0" xfId="289" applyFont="1" applyFill="1" applyAlignment="1">
      <alignment/>
      <protection/>
    </xf>
    <xf numFmtId="0" fontId="26" fillId="0" borderId="0" xfId="292" applyFont="1" applyFill="1">
      <alignment/>
      <protection/>
    </xf>
    <xf numFmtId="49" fontId="24" fillId="0" borderId="0" xfId="292" applyNumberFormat="1" applyFont="1" applyFill="1" applyBorder="1" applyAlignment="1">
      <alignment/>
      <protection/>
    </xf>
    <xf numFmtId="49" fontId="24" fillId="0" borderId="0" xfId="292" applyNumberFormat="1" applyFont="1" applyFill="1" applyAlignment="1">
      <alignment horizontal="left"/>
      <protection/>
    </xf>
    <xf numFmtId="49" fontId="24" fillId="0" borderId="0" xfId="292" applyNumberFormat="1" applyFont="1" applyFill="1">
      <alignment/>
      <protection/>
    </xf>
    <xf numFmtId="0" fontId="34" fillId="0" borderId="0" xfId="292" applyNumberFormat="1" applyFont="1" applyFill="1" applyBorder="1" applyAlignment="1">
      <alignment/>
      <protection/>
    </xf>
    <xf numFmtId="0" fontId="7" fillId="0" borderId="0" xfId="292" applyFont="1" applyFill="1">
      <alignment/>
      <protection/>
    </xf>
    <xf numFmtId="0" fontId="6" fillId="0" borderId="0" xfId="292" applyFont="1" applyFill="1">
      <alignment/>
      <protection/>
    </xf>
    <xf numFmtId="0" fontId="8" fillId="0" borderId="0" xfId="292" applyNumberFormat="1" applyFont="1" applyFill="1" applyBorder="1" applyAlignment="1">
      <alignment horizontal="center" wrapText="1"/>
      <protection/>
    </xf>
    <xf numFmtId="0" fontId="12" fillId="0" borderId="20" xfId="292" applyNumberFormat="1" applyFont="1" applyFill="1" applyBorder="1" applyAlignment="1">
      <alignment horizontal="center" vertical="center" wrapText="1"/>
      <protection/>
    </xf>
    <xf numFmtId="0" fontId="18" fillId="0" borderId="20" xfId="292" applyFont="1" applyFill="1" applyBorder="1" applyAlignment="1">
      <alignment horizontal="center"/>
      <protection/>
    </xf>
    <xf numFmtId="0" fontId="18" fillId="0" borderId="39" xfId="292" applyFont="1" applyFill="1" applyBorder="1" applyAlignment="1">
      <alignment horizontal="center"/>
      <protection/>
    </xf>
    <xf numFmtId="0" fontId="10" fillId="0" borderId="0" xfId="292" applyFont="1" applyFill="1" applyBorder="1" applyAlignment="1">
      <alignment horizontal="center" vertical="center"/>
      <protection/>
    </xf>
    <xf numFmtId="0" fontId="0" fillId="0" borderId="0" xfId="292" applyNumberFormat="1" applyFont="1" applyFill="1" applyBorder="1" applyAlignment="1">
      <alignment horizontal="left"/>
      <protection/>
    </xf>
    <xf numFmtId="0" fontId="7" fillId="0" borderId="0" xfId="292" applyNumberFormat="1" applyFont="1" applyFill="1" applyBorder="1" applyAlignment="1">
      <alignment horizontal="left"/>
      <protection/>
    </xf>
    <xf numFmtId="49" fontId="0" fillId="0" borderId="0" xfId="292" applyNumberFormat="1" applyFont="1" applyFill="1" applyBorder="1" applyAlignment="1">
      <alignment horizontal="left"/>
      <protection/>
    </xf>
    <xf numFmtId="0" fontId="85" fillId="0" borderId="0" xfId="292" applyNumberFormat="1" applyFont="1" applyFill="1">
      <alignment/>
      <protection/>
    </xf>
    <xf numFmtId="0" fontId="34" fillId="0" borderId="0" xfId="292" applyNumberFormat="1" applyFont="1" applyFill="1">
      <alignment/>
      <protection/>
    </xf>
    <xf numFmtId="0" fontId="19" fillId="0" borderId="0" xfId="289" applyNumberFormat="1" applyFont="1" applyFill="1" applyAlignment="1">
      <alignment/>
      <protection/>
    </xf>
    <xf numFmtId="0" fontId="109" fillId="0" borderId="0" xfId="292" applyNumberFormat="1" applyFont="1" applyFill="1">
      <alignment/>
      <protection/>
    </xf>
    <xf numFmtId="0" fontId="0" fillId="0" borderId="0" xfId="292" applyFont="1" applyFill="1" applyBorder="1" applyAlignment="1">
      <alignment horizontal="left"/>
      <protection/>
    </xf>
    <xf numFmtId="0" fontId="30" fillId="0" borderId="0" xfId="289" applyNumberFormat="1" applyFont="1" applyFill="1" applyAlignment="1">
      <alignment/>
      <protection/>
    </xf>
    <xf numFmtId="0" fontId="34" fillId="0" borderId="0" xfId="292" applyNumberFormat="1" applyFont="1" applyFill="1" applyBorder="1" applyAlignment="1">
      <alignment wrapText="1"/>
      <protection/>
    </xf>
    <xf numFmtId="0" fontId="10" fillId="0" borderId="0" xfId="289" applyNumberFormat="1" applyFont="1" applyFill="1" applyBorder="1" applyAlignment="1">
      <alignment horizontal="left" vertical="center"/>
      <protection/>
    </xf>
    <xf numFmtId="0" fontId="8" fillId="0" borderId="0" xfId="292" applyNumberFormat="1" applyFont="1" applyFill="1" applyBorder="1" applyAlignment="1">
      <alignment horizontal="center" vertical="center"/>
      <protection/>
    </xf>
    <xf numFmtId="0" fontId="112" fillId="0" borderId="0" xfId="292" applyNumberFormat="1" applyFont="1" applyFill="1" applyBorder="1" applyAlignment="1">
      <alignment horizontal="center" vertical="center"/>
      <protection/>
    </xf>
    <xf numFmtId="0" fontId="111" fillId="0" borderId="0" xfId="292" applyNumberFormat="1" applyFont="1" applyFill="1" applyBorder="1" applyAlignment="1">
      <alignment horizontal="center" vertical="center"/>
      <protection/>
    </xf>
    <xf numFmtId="0" fontId="1" fillId="0" borderId="0" xfId="292" applyNumberFormat="1" applyFont="1" applyFill="1" applyBorder="1" applyAlignment="1">
      <alignment horizontal="center" vertical="center"/>
      <protection/>
    </xf>
    <xf numFmtId="0" fontId="0" fillId="0" borderId="0" xfId="292" applyFont="1" applyFill="1" applyAlignment="1">
      <alignment/>
      <protection/>
    </xf>
    <xf numFmtId="49" fontId="0" fillId="0" borderId="0" xfId="0" applyNumberFormat="1" applyFill="1" applyAlignment="1">
      <alignment/>
    </xf>
    <xf numFmtId="49" fontId="0" fillId="0" borderId="0" xfId="292" applyNumberFormat="1" applyFont="1" applyFill="1" applyAlignment="1">
      <alignment/>
      <protection/>
    </xf>
    <xf numFmtId="0" fontId="23" fillId="0" borderId="22" xfId="292"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49" fontId="8" fillId="0" borderId="0" xfId="0" applyNumberFormat="1" applyFont="1" applyFill="1" applyAlignment="1">
      <alignment horizontal="left"/>
    </xf>
    <xf numFmtId="210" fontId="10" fillId="47" borderId="20" xfId="0" applyNumberFormat="1" applyFont="1" applyFill="1" applyBorder="1" applyAlignment="1">
      <alignment horizontal="right"/>
    </xf>
    <xf numFmtId="0" fontId="113" fillId="47" borderId="20" xfId="291" applyFont="1" applyFill="1" applyBorder="1" applyAlignment="1">
      <alignment horizontal="left"/>
      <protection/>
    </xf>
    <xf numFmtId="49" fontId="8" fillId="49" borderId="0" xfId="0" applyNumberFormat="1" applyFont="1" applyFill="1" applyAlignment="1">
      <alignment/>
    </xf>
    <xf numFmtId="49" fontId="36" fillId="0" borderId="39" xfId="0" applyNumberFormat="1" applyFont="1" applyFill="1" applyBorder="1" applyAlignment="1" applyProtection="1">
      <alignment horizontal="left" vertical="center"/>
      <protection/>
    </xf>
    <xf numFmtId="210" fontId="36" fillId="0" borderId="20" xfId="0" applyNumberFormat="1" applyFont="1" applyFill="1" applyBorder="1" applyAlignment="1" applyProtection="1">
      <alignment horizontal="left" vertical="center"/>
      <protection/>
    </xf>
    <xf numFmtId="0" fontId="113" fillId="47" borderId="20" xfId="291" applyFont="1" applyFill="1" applyBorder="1" applyAlignment="1">
      <alignment horizontal="center"/>
      <protection/>
    </xf>
    <xf numFmtId="0" fontId="113" fillId="0" borderId="23" xfId="291" applyFont="1" applyBorder="1" applyAlignment="1">
      <alignment horizontal="center"/>
      <protection/>
    </xf>
    <xf numFmtId="0" fontId="113" fillId="0" borderId="37" xfId="0" applyFont="1" applyBorder="1" applyAlignment="1">
      <alignment horizontal="center" wrapText="1"/>
    </xf>
    <xf numFmtId="210" fontId="10" fillId="47" borderId="20" xfId="0" applyNumberFormat="1" applyFont="1" applyFill="1" applyBorder="1" applyAlignment="1" applyProtection="1">
      <alignment horizontal="right" vertical="center"/>
      <protection/>
    </xf>
    <xf numFmtId="210" fontId="10" fillId="0" borderId="20" xfId="0" applyNumberFormat="1" applyFont="1" applyBorder="1" applyAlignment="1">
      <alignment horizontal="right"/>
    </xf>
    <xf numFmtId="0" fontId="25" fillId="49" borderId="20" xfId="0" applyFont="1" applyFill="1" applyBorder="1" applyAlignment="1">
      <alignment wrapText="1"/>
    </xf>
    <xf numFmtId="0" fontId="0" fillId="49" borderId="38" xfId="0" applyFill="1" applyBorder="1" applyAlignment="1">
      <alignment/>
    </xf>
    <xf numFmtId="210" fontId="1" fillId="0" borderId="0" xfId="0" applyNumberFormat="1" applyFont="1" applyFill="1" applyAlignment="1">
      <alignment/>
    </xf>
    <xf numFmtId="210" fontId="30" fillId="0" borderId="0" xfId="0" applyNumberFormat="1" applyFont="1" applyFill="1" applyAlignment="1">
      <alignment horizontal="center"/>
    </xf>
    <xf numFmtId="49" fontId="29" fillId="0" borderId="20" xfId="292" applyNumberFormat="1" applyFont="1" applyFill="1" applyBorder="1" applyAlignment="1">
      <alignment horizontal="center" vertical="center" wrapText="1" readingOrder="1"/>
      <protection/>
    </xf>
    <xf numFmtId="210" fontId="0" fillId="0" borderId="0" xfId="0" applyNumberFormat="1" applyFont="1" applyFill="1" applyAlignment="1">
      <alignment/>
    </xf>
    <xf numFmtId="210" fontId="7"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horizontal="center"/>
    </xf>
    <xf numFmtId="210" fontId="13" fillId="0" borderId="0" xfId="0" applyNumberFormat="1" applyFont="1" applyFill="1" applyBorder="1" applyAlignment="1">
      <alignment horizontal="center"/>
    </xf>
    <xf numFmtId="210" fontId="0" fillId="0" borderId="0" xfId="0" applyNumberFormat="1" applyFont="1" applyFill="1" applyAlignment="1">
      <alignment/>
    </xf>
    <xf numFmtId="210" fontId="8" fillId="0" borderId="0" xfId="0" applyNumberFormat="1" applyFont="1" applyFill="1" applyAlignment="1">
      <alignment/>
    </xf>
    <xf numFmtId="210" fontId="8" fillId="0" borderId="0" xfId="0" applyNumberFormat="1" applyFont="1" applyFill="1" applyBorder="1" applyAlignment="1">
      <alignment/>
    </xf>
    <xf numFmtId="210" fontId="8" fillId="49" borderId="0" xfId="0" applyNumberFormat="1" applyFont="1" applyFill="1" applyAlignment="1">
      <alignment/>
    </xf>
    <xf numFmtId="0" fontId="32" fillId="47" borderId="0" xfId="292" applyFont="1" applyFill="1" applyAlignment="1">
      <alignment vertical="center"/>
      <protection/>
    </xf>
    <xf numFmtId="210" fontId="115" fillId="0" borderId="20" xfId="0" applyNumberFormat="1" applyFont="1" applyFill="1" applyBorder="1" applyAlignment="1" applyProtection="1">
      <alignment horizontal="left" vertical="center"/>
      <protection/>
    </xf>
    <xf numFmtId="49" fontId="32" fillId="47" borderId="0" xfId="292" applyNumberFormat="1" applyFont="1" applyFill="1" applyAlignment="1">
      <alignment vertical="center"/>
      <protection/>
    </xf>
    <xf numFmtId="0" fontId="32" fillId="47" borderId="0" xfId="292" applyFont="1" applyFill="1">
      <alignment/>
      <protection/>
    </xf>
    <xf numFmtId="211" fontId="8" fillId="0" borderId="0" xfId="0" applyNumberFormat="1" applyFont="1" applyFill="1" applyAlignment="1">
      <alignment/>
    </xf>
    <xf numFmtId="2" fontId="12" fillId="0" borderId="0" xfId="0" applyNumberFormat="1" applyFont="1" applyFill="1" applyAlignment="1">
      <alignment horizontal="left"/>
    </xf>
    <xf numFmtId="2" fontId="8" fillId="0" borderId="0" xfId="0" applyNumberFormat="1" applyFont="1" applyFill="1" applyBorder="1" applyAlignment="1">
      <alignment horizontal="center"/>
    </xf>
    <xf numFmtId="2" fontId="12"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xf>
    <xf numFmtId="210" fontId="22" fillId="47" borderId="0" xfId="294" applyNumberFormat="1" applyFont="1" applyFill="1" applyBorder="1" applyAlignment="1">
      <alignment horizontal="center" vertical="center"/>
      <protection/>
    </xf>
    <xf numFmtId="210" fontId="7" fillId="47" borderId="0" xfId="294" applyNumberFormat="1" applyFont="1" applyFill="1" applyBorder="1" applyAlignment="1">
      <alignment horizontal="center" vertical="center"/>
      <protection/>
    </xf>
    <xf numFmtId="210" fontId="113" fillId="47" borderId="0" xfId="294" applyNumberFormat="1" applyFont="1" applyFill="1" applyBorder="1" applyAlignment="1">
      <alignment horizontal="center" vertical="center"/>
      <protection/>
    </xf>
    <xf numFmtId="210" fontId="12" fillId="47" borderId="0" xfId="294" applyNumberFormat="1" applyFont="1" applyFill="1" applyBorder="1" applyAlignment="1">
      <alignment/>
      <protection/>
    </xf>
    <xf numFmtId="49" fontId="17" fillId="47" borderId="0" xfId="292" applyNumberFormat="1" applyFont="1" applyFill="1" applyBorder="1" applyAlignment="1">
      <alignment vertical="justify" textRotation="90" wrapText="1"/>
      <protection/>
    </xf>
    <xf numFmtId="49" fontId="32" fillId="47" borderId="0" xfId="292" applyNumberFormat="1" applyFont="1" applyFill="1" applyBorder="1">
      <alignment/>
      <protection/>
    </xf>
    <xf numFmtId="49" fontId="32" fillId="47" borderId="0" xfId="292" applyNumberFormat="1" applyFont="1" applyFill="1">
      <alignment/>
      <protection/>
    </xf>
    <xf numFmtId="49" fontId="17" fillId="47" borderId="0" xfId="292" applyNumberFormat="1" applyFont="1" applyFill="1" applyBorder="1" applyAlignment="1">
      <alignment vertical="center" textRotation="90" wrapText="1"/>
      <protection/>
    </xf>
    <xf numFmtId="49" fontId="32" fillId="47" borderId="0" xfId="292" applyNumberFormat="1" applyFont="1" applyFill="1" applyBorder="1" applyAlignment="1">
      <alignment vertical="center"/>
      <protection/>
    </xf>
    <xf numFmtId="49" fontId="29" fillId="47" borderId="0" xfId="292" applyNumberFormat="1" applyFont="1" applyFill="1" applyBorder="1" applyAlignment="1">
      <alignment vertical="center" textRotation="90" wrapText="1"/>
      <protection/>
    </xf>
    <xf numFmtId="3" fontId="8" fillId="0" borderId="0" xfId="0" applyNumberFormat="1" applyFont="1" applyAlignment="1">
      <alignment/>
    </xf>
    <xf numFmtId="49" fontId="35" fillId="0" borderId="0" xfId="0" applyNumberFormat="1" applyFont="1" applyFill="1" applyAlignment="1">
      <alignment/>
    </xf>
    <xf numFmtId="49" fontId="10" fillId="0" borderId="0" xfId="0" applyNumberFormat="1" applyFont="1" applyFill="1" applyAlignment="1">
      <alignment/>
    </xf>
    <xf numFmtId="49" fontId="10" fillId="0" borderId="0" xfId="0" applyNumberFormat="1" applyFont="1" applyFill="1" applyAlignment="1">
      <alignment horizontal="center"/>
    </xf>
    <xf numFmtId="49" fontId="10" fillId="0" borderId="0" xfId="0" applyNumberFormat="1" applyFont="1" applyFill="1" applyBorder="1" applyAlignment="1">
      <alignment/>
    </xf>
    <xf numFmtId="49" fontId="35" fillId="0" borderId="0" xfId="0" applyNumberFormat="1" applyFont="1" applyFill="1" applyBorder="1" applyAlignment="1">
      <alignment/>
    </xf>
    <xf numFmtId="49" fontId="10" fillId="0" borderId="0" xfId="0" applyNumberFormat="1" applyFont="1" applyFill="1" applyAlignment="1">
      <alignment/>
    </xf>
    <xf numFmtId="49" fontId="35" fillId="0" borderId="0" xfId="0" applyNumberFormat="1" applyFont="1" applyFill="1" applyAlignment="1">
      <alignment/>
    </xf>
    <xf numFmtId="49" fontId="95" fillId="0" borderId="0" xfId="0" applyNumberFormat="1" applyFont="1" applyFill="1" applyBorder="1" applyAlignment="1">
      <alignment horizontal="center"/>
    </xf>
    <xf numFmtId="49" fontId="95" fillId="0" borderId="0" xfId="0" applyNumberFormat="1" applyFont="1" applyFill="1" applyBorder="1" applyAlignment="1">
      <alignment/>
    </xf>
    <xf numFmtId="49" fontId="24" fillId="0" borderId="0" xfId="0" applyNumberFormat="1" applyFont="1" applyFill="1" applyBorder="1" applyAlignment="1">
      <alignment/>
    </xf>
    <xf numFmtId="49" fontId="10" fillId="0" borderId="20" xfId="0" applyNumberFormat="1" applyFont="1" applyFill="1" applyBorder="1" applyAlignment="1" applyProtection="1">
      <alignment horizontal="center" vertical="center" wrapText="1"/>
      <protection/>
    </xf>
    <xf numFmtId="49" fontId="95" fillId="0" borderId="20" xfId="0" applyNumberFormat="1" applyFont="1" applyFill="1" applyBorder="1" applyAlignment="1" applyProtection="1">
      <alignment horizontal="center" vertical="center"/>
      <protection/>
    </xf>
    <xf numFmtId="49" fontId="24" fillId="0" borderId="20" xfId="0" applyNumberFormat="1" applyFont="1" applyFill="1" applyBorder="1" applyAlignment="1" applyProtection="1">
      <alignment horizontal="center" vertical="center"/>
      <protection/>
    </xf>
    <xf numFmtId="49" fontId="24" fillId="0" borderId="39" xfId="0" applyNumberFormat="1" applyFont="1" applyFill="1" applyBorder="1" applyAlignment="1" applyProtection="1">
      <alignment horizontal="center" vertical="center"/>
      <protection/>
    </xf>
    <xf numFmtId="210" fontId="3" fillId="0" borderId="0" xfId="0" applyNumberFormat="1" applyFont="1" applyFill="1" applyAlignment="1">
      <alignment/>
    </xf>
    <xf numFmtId="210" fontId="8" fillId="47" borderId="20" xfId="294" applyNumberFormat="1" applyFont="1" applyFill="1" applyBorder="1" applyAlignment="1">
      <alignment/>
      <protection/>
    </xf>
    <xf numFmtId="3" fontId="8" fillId="47" borderId="20" xfId="294" applyNumberFormat="1" applyFont="1" applyFill="1" applyBorder="1" applyAlignment="1">
      <alignment horizontal="center" vertical="center"/>
      <protection/>
    </xf>
    <xf numFmtId="210" fontId="82" fillId="47" borderId="20" xfId="294" applyNumberFormat="1" applyFont="1" applyFill="1" applyBorder="1">
      <alignment/>
      <protection/>
    </xf>
    <xf numFmtId="210" fontId="11" fillId="47" borderId="20" xfId="294" applyNumberFormat="1" applyFont="1" applyFill="1" applyBorder="1" applyAlignment="1">
      <alignment horizontal="center" vertical="center"/>
      <protection/>
    </xf>
    <xf numFmtId="1" fontId="8" fillId="47" borderId="20" xfId="294" applyNumberFormat="1" applyFont="1" applyFill="1" applyBorder="1">
      <alignment/>
      <protection/>
    </xf>
    <xf numFmtId="210" fontId="10" fillId="50" borderId="20" xfId="0" applyNumberFormat="1" applyFont="1" applyFill="1" applyBorder="1" applyAlignment="1" applyProtection="1">
      <alignment horizontal="right" vertical="center"/>
      <protection/>
    </xf>
    <xf numFmtId="210" fontId="10" fillId="50" borderId="20" xfId="0" applyNumberFormat="1" applyFont="1" applyFill="1" applyBorder="1" applyAlignment="1">
      <alignment horizontal="right"/>
    </xf>
    <xf numFmtId="0" fontId="10" fillId="50" borderId="20" xfId="291" applyFont="1" applyFill="1" applyBorder="1" applyAlignment="1">
      <alignment horizontal="left"/>
      <protection/>
    </xf>
    <xf numFmtId="216" fontId="13" fillId="0" borderId="0" xfId="0" applyNumberFormat="1" applyFont="1" applyFill="1" applyAlignment="1">
      <alignment horizontal="left"/>
    </xf>
    <xf numFmtId="49" fontId="13" fillId="0" borderId="0" xfId="0" applyNumberFormat="1" applyFont="1" applyFill="1" applyAlignment="1">
      <alignment horizontal="left"/>
    </xf>
    <xf numFmtId="210" fontId="119" fillId="0" borderId="0" xfId="0" applyNumberFormat="1" applyFont="1" applyFill="1" applyAlignment="1">
      <alignment horizontal="left"/>
    </xf>
    <xf numFmtId="210" fontId="13" fillId="0" borderId="0" xfId="0" applyNumberFormat="1" applyFont="1" applyFill="1" applyAlignment="1">
      <alignment horizontal="left"/>
    </xf>
    <xf numFmtId="210" fontId="13" fillId="0" borderId="0" xfId="0" applyNumberFormat="1" applyFont="1" applyFill="1" applyBorder="1" applyAlignment="1">
      <alignment horizontal="left"/>
    </xf>
    <xf numFmtId="210" fontId="119" fillId="0" borderId="0" xfId="0" applyNumberFormat="1" applyFont="1" applyFill="1" applyBorder="1" applyAlignment="1">
      <alignment horizontal="left"/>
    </xf>
    <xf numFmtId="49" fontId="13" fillId="0" borderId="0" xfId="0" applyNumberFormat="1" applyFont="1" applyFill="1" applyBorder="1" applyAlignment="1">
      <alignment horizontal="left"/>
    </xf>
    <xf numFmtId="216" fontId="36" fillId="0" borderId="0" xfId="0" applyNumberFormat="1" applyFont="1" applyFill="1" applyAlignment="1">
      <alignment horizontal="left"/>
    </xf>
    <xf numFmtId="210" fontId="13" fillId="0" borderId="20"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lignment horizontal="center" vertical="center" wrapText="1"/>
    </xf>
    <xf numFmtId="49" fontId="13" fillId="0" borderId="20" xfId="0" applyNumberFormat="1" applyFont="1" applyFill="1" applyBorder="1" applyAlignment="1">
      <alignment horizontal="left"/>
    </xf>
    <xf numFmtId="49" fontId="13" fillId="49" borderId="0" xfId="0" applyNumberFormat="1" applyFont="1" applyFill="1" applyAlignment="1">
      <alignment horizontal="left"/>
    </xf>
    <xf numFmtId="0" fontId="10" fillId="50" borderId="20" xfId="291" applyFont="1" applyFill="1" applyBorder="1" applyAlignment="1">
      <alignment horizontal="center"/>
      <protection/>
    </xf>
    <xf numFmtId="210" fontId="11" fillId="0" borderId="37" xfId="0" applyNumberFormat="1" applyFont="1" applyBorder="1" applyAlignment="1">
      <alignment horizontal="right" wrapText="1"/>
    </xf>
    <xf numFmtId="210" fontId="11" fillId="47" borderId="20" xfId="0" applyNumberFormat="1" applyFont="1" applyFill="1" applyBorder="1" applyAlignment="1">
      <alignment horizontal="right"/>
    </xf>
    <xf numFmtId="210" fontId="11" fillId="50" borderId="20" xfId="0" applyNumberFormat="1" applyFont="1" applyFill="1" applyBorder="1" applyAlignment="1">
      <alignment horizontal="right"/>
    </xf>
    <xf numFmtId="0" fontId="113" fillId="50" borderId="20" xfId="291" applyFont="1" applyFill="1" applyBorder="1" applyAlignment="1">
      <alignment horizontal="center"/>
      <protection/>
    </xf>
    <xf numFmtId="0" fontId="113" fillId="50" borderId="20" xfId="291" applyFont="1" applyFill="1" applyBorder="1" applyAlignment="1">
      <alignment horizontal="left"/>
      <protection/>
    </xf>
    <xf numFmtId="0" fontId="11" fillId="50" borderId="37" xfId="0" applyFont="1" applyFill="1" applyBorder="1" applyAlignment="1">
      <alignment horizontal="center" wrapText="1"/>
    </xf>
    <xf numFmtId="0" fontId="11" fillId="50" borderId="23" xfId="0" applyFont="1" applyFill="1" applyBorder="1" applyAlignment="1">
      <alignment vertical="justify" wrapText="1"/>
    </xf>
    <xf numFmtId="0" fontId="10" fillId="50" borderId="23" xfId="0" applyFont="1" applyFill="1" applyBorder="1" applyAlignment="1">
      <alignment horizontal="center"/>
    </xf>
    <xf numFmtId="1" fontId="10" fillId="50" borderId="23" xfId="0" applyNumberFormat="1" applyFont="1" applyFill="1" applyBorder="1" applyAlignment="1">
      <alignment horizontal="center"/>
    </xf>
    <xf numFmtId="0" fontId="113" fillId="50" borderId="23" xfId="291" applyFont="1" applyFill="1" applyBorder="1" applyAlignment="1">
      <alignment horizontal="center"/>
      <protection/>
    </xf>
    <xf numFmtId="0" fontId="11" fillId="50" borderId="23" xfId="0" applyFont="1" applyFill="1" applyBorder="1" applyAlignment="1">
      <alignment vertical="justify" textRotation="90" wrapText="1"/>
    </xf>
    <xf numFmtId="0" fontId="8" fillId="0" borderId="20" xfId="0" applyFont="1" applyBorder="1" applyAlignment="1">
      <alignment horizontal="center"/>
    </xf>
    <xf numFmtId="0" fontId="8" fillId="50" borderId="20" xfId="0" applyFont="1" applyFill="1" applyBorder="1" applyAlignment="1">
      <alignment horizontal="center"/>
    </xf>
    <xf numFmtId="2" fontId="0" fillId="50" borderId="0" xfId="0" applyNumberFormat="1" applyFont="1" applyFill="1" applyAlignment="1">
      <alignment/>
    </xf>
    <xf numFmtId="1" fontId="29" fillId="50" borderId="25" xfId="0" applyNumberFormat="1" applyFont="1" applyFill="1" applyBorder="1" applyAlignment="1">
      <alignment horizontal="center" vertical="center"/>
    </xf>
    <xf numFmtId="210" fontId="11" fillId="50" borderId="20" xfId="294" applyNumberFormat="1" applyFont="1" applyFill="1" applyBorder="1" applyAlignment="1">
      <alignment horizontal="center" vertical="center"/>
      <protection/>
    </xf>
    <xf numFmtId="2" fontId="1" fillId="50" borderId="0" xfId="0" applyNumberFormat="1" applyFont="1" applyFill="1" applyAlignment="1">
      <alignment/>
    </xf>
    <xf numFmtId="210" fontId="34" fillId="0" borderId="0" xfId="0" applyNumberFormat="1" applyFont="1" applyFill="1" applyBorder="1" applyAlignment="1">
      <alignment/>
    </xf>
    <xf numFmtId="210" fontId="22" fillId="47" borderId="20" xfId="294" applyNumberFormat="1" applyFont="1" applyFill="1" applyBorder="1" applyAlignment="1">
      <alignment horizontal="center" vertical="center"/>
      <protection/>
    </xf>
    <xf numFmtId="210" fontId="12" fillId="47" borderId="21" xfId="294" applyNumberFormat="1" applyFont="1" applyFill="1" applyBorder="1" applyAlignment="1">
      <alignment horizontal="center" vertical="center"/>
      <protection/>
    </xf>
    <xf numFmtId="210" fontId="22" fillId="47" borderId="21" xfId="294" applyNumberFormat="1" applyFont="1" applyFill="1" applyBorder="1" applyAlignment="1">
      <alignment horizontal="center" vertical="center"/>
      <protection/>
    </xf>
    <xf numFmtId="210" fontId="7" fillId="47" borderId="21" xfId="294" applyNumberFormat="1" applyFont="1" applyFill="1" applyBorder="1" applyAlignment="1">
      <alignment horizontal="center" vertical="center"/>
      <protection/>
    </xf>
    <xf numFmtId="210" fontId="113" fillId="47" borderId="26" xfId="294" applyNumberFormat="1" applyFont="1" applyFill="1" applyBorder="1" applyAlignment="1">
      <alignment horizontal="center" vertical="center"/>
      <protection/>
    </xf>
    <xf numFmtId="210" fontId="113" fillId="47" borderId="20" xfId="294" applyNumberFormat="1" applyFont="1" applyFill="1" applyBorder="1" applyAlignment="1">
      <alignment horizontal="center" vertical="center"/>
      <protection/>
    </xf>
    <xf numFmtId="210" fontId="12" fillId="47" borderId="23" xfId="294" applyNumberFormat="1" applyFont="1" applyFill="1" applyBorder="1" applyAlignment="1">
      <alignment horizontal="center" vertical="center"/>
      <protection/>
    </xf>
    <xf numFmtId="210" fontId="7" fillId="47" borderId="23" xfId="294" applyNumberFormat="1" applyFont="1" applyFill="1" applyBorder="1" applyAlignment="1">
      <alignment horizontal="center" vertical="center"/>
      <protection/>
    </xf>
    <xf numFmtId="210" fontId="22" fillId="47" borderId="20" xfId="294" applyNumberFormat="1" applyFont="1" applyFill="1" applyBorder="1">
      <alignment/>
      <protection/>
    </xf>
    <xf numFmtId="210" fontId="12" fillId="47" borderId="20" xfId="294" applyNumberFormat="1" applyFont="1" applyFill="1" applyBorder="1" applyAlignment="1">
      <alignment horizontal="center" vertical="center"/>
      <protection/>
    </xf>
    <xf numFmtId="210" fontId="22" fillId="47" borderId="26" xfId="294" applyNumberFormat="1" applyFont="1" applyFill="1" applyBorder="1" applyAlignment="1">
      <alignment horizontal="center" vertical="center"/>
      <protection/>
    </xf>
    <xf numFmtId="210" fontId="113" fillId="47" borderId="20" xfId="294" applyNumberFormat="1" applyFont="1" applyFill="1" applyBorder="1" applyAlignment="1">
      <alignment horizontal="left"/>
      <protection/>
    </xf>
    <xf numFmtId="210" fontId="113" fillId="47" borderId="20" xfId="294" applyNumberFormat="1" applyFont="1" applyFill="1" applyBorder="1">
      <alignment/>
      <protection/>
    </xf>
    <xf numFmtId="210" fontId="113" fillId="47" borderId="21" xfId="294" applyNumberFormat="1" applyFont="1" applyFill="1" applyBorder="1">
      <alignment/>
      <protection/>
    </xf>
    <xf numFmtId="210" fontId="11" fillId="47" borderId="21" xfId="294" applyNumberFormat="1" applyFont="1" applyFill="1" applyBorder="1">
      <alignment/>
      <protection/>
    </xf>
    <xf numFmtId="210" fontId="12" fillId="47" borderId="23" xfId="294" applyNumberFormat="1" applyFont="1" applyFill="1" applyBorder="1">
      <alignment/>
      <protection/>
    </xf>
    <xf numFmtId="3" fontId="1" fillId="0" borderId="0" xfId="0" applyNumberFormat="1" applyFont="1" applyFill="1" applyAlignment="1">
      <alignment/>
    </xf>
    <xf numFmtId="3" fontId="0" fillId="0" borderId="0" xfId="0" applyNumberFormat="1" applyFont="1" applyFill="1" applyAlignment="1">
      <alignment vertical="center"/>
    </xf>
    <xf numFmtId="3" fontId="0" fillId="0" borderId="0" xfId="0" applyNumberFormat="1" applyFont="1" applyFill="1" applyAlignment="1">
      <alignment/>
    </xf>
    <xf numFmtId="3" fontId="0" fillId="0" borderId="0" xfId="0" applyNumberFormat="1" applyFill="1" applyAlignment="1">
      <alignment/>
    </xf>
    <xf numFmtId="3" fontId="8" fillId="0" borderId="0" xfId="0" applyNumberFormat="1" applyFont="1" applyFill="1" applyAlignment="1">
      <alignment/>
    </xf>
    <xf numFmtId="3" fontId="12" fillId="0" borderId="0" xfId="0" applyNumberFormat="1" applyFont="1" applyFill="1" applyAlignment="1">
      <alignment/>
    </xf>
    <xf numFmtId="3" fontId="0" fillId="0" borderId="0" xfId="0" applyNumberFormat="1" applyFont="1" applyFill="1" applyAlignment="1">
      <alignment/>
    </xf>
    <xf numFmtId="3" fontId="8" fillId="0" borderId="0" xfId="0" applyNumberFormat="1" applyFont="1" applyFill="1" applyBorder="1" applyAlignment="1">
      <alignment/>
    </xf>
    <xf numFmtId="3" fontId="30" fillId="0" borderId="0" xfId="0" applyNumberFormat="1" applyFont="1" applyFill="1" applyBorder="1" applyAlignment="1">
      <alignment/>
    </xf>
    <xf numFmtId="0" fontId="0" fillId="50" borderId="20" xfId="0" applyFont="1" applyFill="1" applyBorder="1" applyAlignment="1" applyProtection="1">
      <alignment horizontal="left" vertical="center"/>
      <protection/>
    </xf>
    <xf numFmtId="210" fontId="0" fillId="50" borderId="20" xfId="0" applyNumberFormat="1" applyFont="1" applyFill="1" applyBorder="1" applyAlignment="1" applyProtection="1">
      <alignment horizontal="left" vertical="center"/>
      <protection/>
    </xf>
    <xf numFmtId="0" fontId="0" fillId="50" borderId="20" xfId="291" applyFont="1" applyFill="1" applyBorder="1" applyAlignment="1">
      <alignment horizontal="left"/>
      <protection/>
    </xf>
    <xf numFmtId="211" fontId="0" fillId="50" borderId="26" xfId="0" applyNumberFormat="1" applyFont="1" applyFill="1" applyBorder="1" applyAlignment="1" applyProtection="1">
      <alignment vertical="center" wrapText="1"/>
      <protection/>
    </xf>
    <xf numFmtId="49" fontId="0" fillId="50" borderId="20" xfId="0" applyNumberFormat="1" applyFont="1" applyFill="1" applyBorder="1" applyAlignment="1" applyProtection="1">
      <alignment horizontal="left" vertical="center"/>
      <protection/>
    </xf>
    <xf numFmtId="3" fontId="0" fillId="50" borderId="20" xfId="0" applyNumberFormat="1" applyFont="1" applyFill="1" applyBorder="1" applyAlignment="1" applyProtection="1">
      <alignment horizontal="left" vertical="center" wrapText="1" shrinkToFit="1"/>
      <protection locked="0"/>
    </xf>
    <xf numFmtId="49" fontId="0" fillId="50" borderId="20" xfId="0" applyNumberFormat="1" applyFont="1" applyFill="1" applyBorder="1" applyAlignment="1" applyProtection="1">
      <alignment vertical="center"/>
      <protection/>
    </xf>
    <xf numFmtId="211" fontId="0" fillId="50" borderId="20" xfId="0" applyNumberFormat="1" applyFont="1" applyFill="1" applyBorder="1" applyAlignment="1" applyProtection="1">
      <alignment vertical="center"/>
      <protection/>
    </xf>
    <xf numFmtId="3" fontId="0" fillId="50" borderId="20" xfId="0" applyNumberFormat="1" applyFont="1" applyFill="1" applyBorder="1" applyAlignment="1" applyProtection="1">
      <alignment vertical="center"/>
      <protection/>
    </xf>
    <xf numFmtId="3" fontId="0" fillId="50" borderId="21" xfId="0" applyNumberFormat="1" applyFont="1" applyFill="1" applyBorder="1" applyAlignment="1" applyProtection="1">
      <alignment vertical="center"/>
      <protection/>
    </xf>
    <xf numFmtId="0" fontId="0" fillId="50" borderId="20" xfId="0" applyNumberFormat="1" applyFont="1" applyFill="1" applyBorder="1" applyAlignment="1" applyProtection="1">
      <alignment horizontal="left" vertical="center" wrapText="1"/>
      <protection/>
    </xf>
    <xf numFmtId="49" fontId="0" fillId="50" borderId="0" xfId="0" applyNumberFormat="1" applyFont="1" applyFill="1" applyAlignment="1">
      <alignment horizontal="left" vertical="center" wrapText="1"/>
    </xf>
    <xf numFmtId="0" fontId="0" fillId="50" borderId="21" xfId="0" applyNumberFormat="1" applyFont="1" applyFill="1" applyBorder="1" applyAlignment="1" applyProtection="1">
      <alignment horizontal="left" vertical="center" wrapText="1"/>
      <protection/>
    </xf>
    <xf numFmtId="49" fontId="0" fillId="50" borderId="0" xfId="0" applyNumberFormat="1" applyFont="1" applyFill="1" applyAlignment="1">
      <alignment/>
    </xf>
    <xf numFmtId="210" fontId="0" fillId="51" borderId="20" xfId="0" applyNumberFormat="1" applyFont="1" applyFill="1" applyBorder="1" applyAlignment="1" applyProtection="1">
      <alignment vertical="center"/>
      <protection/>
    </xf>
    <xf numFmtId="210" fontId="0" fillId="51" borderId="20" xfId="308" applyNumberFormat="1" applyFont="1" applyFill="1" applyBorder="1" applyAlignment="1">
      <alignment/>
    </xf>
    <xf numFmtId="49" fontId="10" fillId="0" borderId="0" xfId="0" applyNumberFormat="1" applyFont="1" applyFill="1" applyAlignment="1">
      <alignment horizontal="left"/>
    </xf>
    <xf numFmtId="49" fontId="24" fillId="0" borderId="0" xfId="0" applyNumberFormat="1" applyFont="1" applyFill="1" applyAlignment="1">
      <alignment horizontal="left"/>
    </xf>
    <xf numFmtId="0" fontId="0" fillId="51" borderId="20" xfId="0" applyFont="1" applyFill="1" applyBorder="1" applyAlignment="1" applyProtection="1">
      <alignment horizontal="left" vertical="center"/>
      <protection/>
    </xf>
    <xf numFmtId="3" fontId="0" fillId="51" borderId="0" xfId="0" applyNumberFormat="1" applyFont="1" applyFill="1" applyAlignment="1">
      <alignment/>
    </xf>
    <xf numFmtId="49" fontId="0" fillId="51" borderId="0" xfId="0" applyNumberFormat="1" applyFont="1" applyFill="1" applyAlignment="1">
      <alignment/>
    </xf>
    <xf numFmtId="0" fontId="0" fillId="51" borderId="20" xfId="291" applyFont="1" applyFill="1" applyBorder="1" applyAlignment="1">
      <alignment horizontal="left"/>
      <protection/>
    </xf>
    <xf numFmtId="49" fontId="0" fillId="51" borderId="0" xfId="0" applyNumberFormat="1" applyFont="1" applyFill="1" applyBorder="1" applyAlignment="1">
      <alignment/>
    </xf>
    <xf numFmtId="4" fontId="29" fillId="50" borderId="20" xfId="295" applyNumberFormat="1" applyFont="1" applyFill="1" applyBorder="1" applyAlignment="1">
      <alignment vertical="center" wrapText="1"/>
      <protection/>
    </xf>
    <xf numFmtId="210" fontId="29" fillId="50" borderId="20" xfId="0" applyNumberFormat="1" applyFont="1" applyFill="1" applyBorder="1" applyAlignment="1" applyProtection="1">
      <alignment vertical="center"/>
      <protection/>
    </xf>
    <xf numFmtId="210" fontId="29" fillId="50" borderId="20" xfId="308" applyNumberFormat="1" applyFont="1" applyFill="1" applyBorder="1" applyAlignment="1" applyProtection="1">
      <alignment vertical="center"/>
      <protection/>
    </xf>
    <xf numFmtId="210" fontId="29" fillId="50" borderId="20" xfId="0" applyNumberFormat="1" applyFont="1" applyFill="1" applyBorder="1" applyAlignment="1">
      <alignment/>
    </xf>
    <xf numFmtId="3" fontId="29" fillId="50" borderId="20" xfId="0" applyNumberFormat="1" applyFont="1" applyFill="1" applyBorder="1" applyAlignment="1" applyProtection="1">
      <alignment vertical="center"/>
      <protection/>
    </xf>
    <xf numFmtId="210" fontId="29" fillId="50" borderId="20" xfId="294" applyNumberFormat="1" applyFont="1" applyFill="1" applyBorder="1" applyAlignment="1" applyProtection="1">
      <alignment vertical="center"/>
      <protection/>
    </xf>
    <xf numFmtId="3" fontId="29" fillId="50" borderId="20" xfId="295" applyNumberFormat="1" applyFont="1" applyFill="1" applyBorder="1" applyAlignment="1" applyProtection="1">
      <alignment vertical="center" wrapText="1"/>
      <protection/>
    </xf>
    <xf numFmtId="210" fontId="29" fillId="50" borderId="20" xfId="95" applyNumberFormat="1" applyFont="1" applyFill="1" applyBorder="1" applyAlignment="1">
      <alignment vertical="center"/>
    </xf>
    <xf numFmtId="210" fontId="29" fillId="50" borderId="20" xfId="0" applyNumberFormat="1" applyFont="1" applyFill="1" applyBorder="1" applyAlignment="1">
      <alignment vertical="center"/>
    </xf>
    <xf numFmtId="210" fontId="29" fillId="50" borderId="20" xfId="95" applyNumberFormat="1" applyFont="1" applyFill="1" applyBorder="1" applyAlignment="1">
      <alignment/>
    </xf>
    <xf numFmtId="210" fontId="29" fillId="50" borderId="0" xfId="308" applyNumberFormat="1" applyFont="1" applyFill="1" applyBorder="1" applyAlignment="1" applyProtection="1">
      <alignment vertical="center"/>
      <protection/>
    </xf>
    <xf numFmtId="210" fontId="29" fillId="50" borderId="0" xfId="0" applyNumberFormat="1" applyFont="1" applyFill="1" applyBorder="1" applyAlignment="1">
      <alignment/>
    </xf>
    <xf numFmtId="1" fontId="29" fillId="50" borderId="20" xfId="0" applyNumberFormat="1" applyFont="1" applyFill="1" applyBorder="1" applyAlignment="1" applyProtection="1">
      <alignment vertical="center"/>
      <protection/>
    </xf>
    <xf numFmtId="1" fontId="29" fillId="50" borderId="20" xfId="304" applyNumberFormat="1" applyFont="1" applyFill="1" applyBorder="1" applyAlignment="1" applyProtection="1">
      <alignment vertical="center"/>
      <protection/>
    </xf>
    <xf numFmtId="1" fontId="29" fillId="50" borderId="20" xfId="0" applyNumberFormat="1" applyFont="1" applyFill="1" applyBorder="1" applyAlignment="1" applyProtection="1">
      <alignment/>
      <protection/>
    </xf>
    <xf numFmtId="194" fontId="29" fillId="50" borderId="20" xfId="95" applyNumberFormat="1" applyFont="1" applyFill="1" applyBorder="1" applyAlignment="1" applyProtection="1">
      <alignment vertical="center"/>
      <protection/>
    </xf>
    <xf numFmtId="194" fontId="29" fillId="50" borderId="20" xfId="95" applyNumberFormat="1" applyFont="1" applyFill="1" applyBorder="1" applyAlignment="1">
      <alignment/>
    </xf>
    <xf numFmtId="3" fontId="29" fillId="50" borderId="20" xfId="310" applyNumberFormat="1" applyFont="1" applyFill="1" applyBorder="1" applyAlignment="1" applyProtection="1">
      <alignment vertical="center" wrapText="1"/>
      <protection/>
    </xf>
    <xf numFmtId="3" fontId="29" fillId="50" borderId="20" xfId="295" applyNumberFormat="1" applyFont="1" applyFill="1" applyBorder="1" applyAlignment="1">
      <alignment vertical="center" wrapText="1"/>
      <protection/>
    </xf>
    <xf numFmtId="194" fontId="29" fillId="50" borderId="20" xfId="294" applyNumberFormat="1" applyFont="1" applyFill="1" applyBorder="1" applyAlignment="1" applyProtection="1">
      <alignment vertical="center" shrinkToFit="1"/>
      <protection/>
    </xf>
    <xf numFmtId="194" fontId="29" fillId="50" borderId="20" xfId="304" applyNumberFormat="1" applyFont="1" applyFill="1" applyBorder="1" applyAlignment="1" applyProtection="1">
      <alignment vertical="center" shrinkToFit="1"/>
      <protection/>
    </xf>
    <xf numFmtId="3" fontId="29" fillId="50" borderId="20" xfId="285" applyNumberFormat="1" applyFont="1" applyFill="1" applyBorder="1" applyAlignment="1" applyProtection="1">
      <alignment vertical="center"/>
      <protection locked="0"/>
    </xf>
    <xf numFmtId="3" fontId="29" fillId="50" borderId="20" xfId="304" applyNumberFormat="1" applyFont="1" applyFill="1" applyBorder="1" applyAlignment="1" applyProtection="1">
      <alignment vertical="center"/>
      <protection/>
    </xf>
    <xf numFmtId="3" fontId="29" fillId="50" borderId="20" xfId="0" applyNumberFormat="1" applyFont="1" applyFill="1" applyBorder="1" applyAlignment="1">
      <alignment/>
    </xf>
    <xf numFmtId="217" fontId="29" fillId="50" borderId="20" xfId="0" applyNumberFormat="1" applyFont="1" applyFill="1" applyBorder="1" applyAlignment="1" applyProtection="1">
      <alignment vertical="center"/>
      <protection hidden="1"/>
    </xf>
    <xf numFmtId="217" fontId="29" fillId="50" borderId="20" xfId="304" applyNumberFormat="1" applyFont="1" applyFill="1" applyBorder="1" applyAlignment="1" applyProtection="1">
      <alignment vertical="center"/>
      <protection hidden="1"/>
    </xf>
    <xf numFmtId="217" fontId="29" fillId="50" borderId="20" xfId="0" applyNumberFormat="1" applyFont="1" applyFill="1" applyBorder="1" applyAlignment="1" applyProtection="1">
      <alignment/>
      <protection hidden="1"/>
    </xf>
    <xf numFmtId="210" fontId="29" fillId="50" borderId="20" xfId="0" applyNumberFormat="1" applyFont="1" applyFill="1" applyBorder="1" applyAlignment="1" applyProtection="1">
      <alignment/>
      <protection/>
    </xf>
    <xf numFmtId="210" fontId="29" fillId="50" borderId="20" xfId="304" applyNumberFormat="1" applyFont="1" applyFill="1" applyBorder="1" applyAlignment="1" applyProtection="1">
      <alignment/>
      <protection/>
    </xf>
    <xf numFmtId="3" fontId="29" fillId="50" borderId="20" xfId="294" applyNumberFormat="1" applyFont="1" applyFill="1" applyBorder="1" applyAlignment="1" applyProtection="1">
      <alignment vertical="center"/>
      <protection/>
    </xf>
    <xf numFmtId="3" fontId="29" fillId="50" borderId="21" xfId="294" applyNumberFormat="1" applyFont="1" applyFill="1" applyBorder="1" applyAlignment="1" applyProtection="1">
      <alignment vertical="center"/>
      <protection/>
    </xf>
    <xf numFmtId="3" fontId="29" fillId="50" borderId="20" xfId="0" applyNumberFormat="1" applyFont="1" applyFill="1" applyBorder="1" applyAlignment="1" applyProtection="1">
      <alignment vertical="center"/>
      <protection hidden="1"/>
    </xf>
    <xf numFmtId="3" fontId="29" fillId="50" borderId="20" xfId="294" applyNumberFormat="1" applyFont="1" applyFill="1" applyBorder="1" applyAlignment="1">
      <alignment/>
      <protection/>
    </xf>
    <xf numFmtId="3" fontId="29" fillId="50" borderId="20" xfId="0" applyNumberFormat="1" applyFont="1" applyFill="1" applyBorder="1" applyAlignment="1">
      <alignment vertical="center"/>
    </xf>
    <xf numFmtId="210" fontId="29" fillId="50" borderId="20" xfId="304" applyNumberFormat="1" applyFont="1" applyFill="1" applyBorder="1" applyAlignment="1" applyProtection="1">
      <alignment vertical="center"/>
      <protection/>
    </xf>
    <xf numFmtId="194" fontId="29" fillId="50" borderId="20" xfId="294" applyNumberFormat="1" applyFont="1" applyFill="1" applyBorder="1" applyAlignment="1" applyProtection="1">
      <alignment vertical="center" shrinkToFit="1"/>
      <protection locked="0"/>
    </xf>
    <xf numFmtId="194" fontId="29" fillId="50" borderId="20" xfId="294" applyNumberFormat="1" applyFont="1" applyFill="1" applyBorder="1" applyAlignment="1">
      <alignment vertical="center" shrinkToFit="1"/>
      <protection/>
    </xf>
    <xf numFmtId="4" fontId="29" fillId="51" borderId="20" xfId="295" applyNumberFormat="1" applyFont="1" applyFill="1" applyBorder="1" applyAlignment="1">
      <alignment vertical="center" wrapText="1"/>
      <protection/>
    </xf>
    <xf numFmtId="210" fontId="13" fillId="51" borderId="0" xfId="0" applyNumberFormat="1" applyFont="1" applyFill="1" applyAlignment="1">
      <alignment horizontal="right"/>
    </xf>
    <xf numFmtId="49" fontId="13" fillId="51" borderId="0" xfId="0" applyNumberFormat="1" applyFont="1" applyFill="1" applyAlignment="1">
      <alignment horizontal="left"/>
    </xf>
    <xf numFmtId="3" fontId="29" fillId="51" borderId="20" xfId="295" applyNumberFormat="1" applyFont="1" applyFill="1" applyBorder="1" applyAlignment="1" applyProtection="1">
      <alignment vertical="center" wrapText="1"/>
      <protection/>
    </xf>
    <xf numFmtId="210" fontId="10" fillId="47" borderId="0" xfId="286" applyNumberFormat="1" applyFont="1" applyFill="1" applyBorder="1" applyAlignment="1" applyProtection="1">
      <alignment horizontal="left" vertical="center"/>
      <protection/>
    </xf>
    <xf numFmtId="210" fontId="34" fillId="47" borderId="0" xfId="294" applyNumberFormat="1" applyFont="1" applyFill="1" applyBorder="1" applyAlignment="1">
      <alignment horizontal="left" wrapText="1"/>
      <protection/>
    </xf>
    <xf numFmtId="210" fontId="58" fillId="47" borderId="0" xfId="294" applyNumberFormat="1" applyFont="1" applyFill="1" applyBorder="1" applyAlignment="1">
      <alignment horizontal="left" wrapText="1"/>
      <protection/>
    </xf>
    <xf numFmtId="0" fontId="34" fillId="47" borderId="0" xfId="294" applyNumberFormat="1" applyFont="1" applyFill="1" applyBorder="1" applyAlignment="1">
      <alignment horizontal="left"/>
      <protection/>
    </xf>
    <xf numFmtId="210" fontId="30" fillId="47" borderId="0" xfId="294" applyNumberFormat="1" applyFont="1" applyFill="1" applyBorder="1" applyAlignment="1">
      <alignment horizontal="center" wrapText="1"/>
      <protection/>
    </xf>
    <xf numFmtId="210" fontId="116" fillId="47" borderId="0" xfId="294" applyNumberFormat="1" applyFont="1" applyFill="1" applyBorder="1" applyAlignment="1">
      <alignment horizontal="center" wrapText="1"/>
      <protection/>
    </xf>
    <xf numFmtId="0" fontId="34" fillId="47" borderId="0" xfId="294" applyNumberFormat="1" applyFont="1" applyFill="1" applyAlignment="1">
      <alignment horizontal="left"/>
      <protection/>
    </xf>
    <xf numFmtId="0" fontId="30" fillId="47" borderId="0" xfId="294" applyNumberFormat="1" applyFont="1" applyFill="1" applyAlignment="1">
      <alignment horizontal="center"/>
      <protection/>
    </xf>
    <xf numFmtId="210" fontId="116" fillId="47" borderId="0" xfId="294" applyNumberFormat="1" applyFont="1" applyFill="1" applyAlignment="1">
      <alignment horizontal="center"/>
      <protection/>
    </xf>
    <xf numFmtId="210" fontId="30" fillId="47" borderId="0" xfId="294" applyNumberFormat="1" applyFont="1" applyFill="1" applyAlignment="1">
      <alignment horizontal="center"/>
      <protection/>
    </xf>
    <xf numFmtId="0" fontId="0" fillId="47" borderId="0" xfId="294" applyNumberFormat="1" applyFont="1" applyFill="1" applyAlignment="1">
      <alignment horizontal="left"/>
      <protection/>
    </xf>
    <xf numFmtId="0" fontId="8" fillId="47" borderId="0" xfId="294" applyNumberFormat="1" applyFont="1" applyFill="1" applyAlignment="1">
      <alignment horizontal="left"/>
      <protection/>
    </xf>
    <xf numFmtId="0" fontId="8" fillId="47" borderId="0" xfId="294" applyNumberFormat="1" applyFont="1" applyFill="1" applyAlignment="1">
      <alignment horizontal="left" wrapText="1"/>
      <protection/>
    </xf>
    <xf numFmtId="0" fontId="30" fillId="47" borderId="0" xfId="294" applyNumberFormat="1" applyFont="1" applyFill="1" applyAlignment="1">
      <alignment horizontal="center" wrapText="1"/>
      <protection/>
    </xf>
    <xf numFmtId="210" fontId="116" fillId="47" borderId="0" xfId="294" applyNumberFormat="1" applyFont="1" applyFill="1" applyAlignment="1">
      <alignment horizontal="center" wrapText="1"/>
      <protection/>
    </xf>
    <xf numFmtId="210" fontId="30" fillId="47" borderId="0" xfId="294" applyNumberFormat="1" applyFont="1" applyFill="1" applyAlignment="1">
      <alignment horizontal="center" wrapText="1"/>
      <protection/>
    </xf>
    <xf numFmtId="0" fontId="30" fillId="47" borderId="0" xfId="294" applyNumberFormat="1" applyFont="1" applyFill="1" applyAlignment="1">
      <alignment/>
      <protection/>
    </xf>
    <xf numFmtId="210" fontId="10" fillId="47" borderId="0" xfId="287" applyNumberFormat="1" applyFont="1" applyFill="1" applyBorder="1" applyAlignment="1" applyProtection="1">
      <alignment horizontal="left" vertical="center"/>
      <protection/>
    </xf>
    <xf numFmtId="4" fontId="30" fillId="47" borderId="0" xfId="294" applyNumberFormat="1" applyFont="1" applyFill="1" applyAlignment="1">
      <alignment horizontal="center"/>
      <protection/>
    </xf>
    <xf numFmtId="49" fontId="0" fillId="47" borderId="0" xfId="294" applyNumberFormat="1" applyFont="1" applyFill="1" applyAlignment="1">
      <alignment horizontal="left"/>
      <protection/>
    </xf>
    <xf numFmtId="210" fontId="0" fillId="47" borderId="0" xfId="294" applyNumberFormat="1" applyFont="1" applyFill="1" applyAlignment="1">
      <alignment horizontal="left"/>
      <protection/>
    </xf>
    <xf numFmtId="210" fontId="25" fillId="47" borderId="0" xfId="294" applyNumberFormat="1" applyFont="1" applyFill="1" applyAlignment="1">
      <alignment horizontal="left"/>
      <protection/>
    </xf>
    <xf numFmtId="0" fontId="37" fillId="47" borderId="19" xfId="294" applyNumberFormat="1" applyFont="1" applyFill="1" applyBorder="1" applyAlignment="1">
      <alignment wrapText="1"/>
      <protection/>
    </xf>
    <xf numFmtId="0" fontId="34" fillId="47" borderId="19" xfId="294" applyNumberFormat="1" applyFont="1" applyFill="1" applyBorder="1" applyAlignment="1">
      <alignment vertical="center"/>
      <protection/>
    </xf>
    <xf numFmtId="210" fontId="29" fillId="47" borderId="20" xfId="296" applyNumberFormat="1" applyFont="1" applyFill="1" applyBorder="1" applyAlignment="1" applyProtection="1">
      <alignment horizontal="left" vertical="center"/>
      <protection/>
    </xf>
    <xf numFmtId="0" fontId="29" fillId="47" borderId="20" xfId="294" applyFont="1" applyFill="1" applyBorder="1" applyAlignment="1" applyProtection="1">
      <alignment horizontal="center" vertical="center" wrapText="1"/>
      <protection/>
    </xf>
    <xf numFmtId="211" fontId="29" fillId="47" borderId="26" xfId="296" applyNumberFormat="1" applyFont="1" applyFill="1" applyBorder="1" applyAlignment="1" applyProtection="1">
      <alignment vertical="center" wrapText="1"/>
      <protection/>
    </xf>
    <xf numFmtId="49" fontId="29" fillId="47" borderId="20" xfId="296" applyNumberFormat="1" applyFont="1" applyFill="1" applyBorder="1" applyAlignment="1" applyProtection="1">
      <alignment horizontal="left" vertical="center"/>
      <protection/>
    </xf>
    <xf numFmtId="0" fontId="29" fillId="47" borderId="20" xfId="296" applyFont="1" applyFill="1" applyBorder="1" applyAlignment="1" applyProtection="1">
      <alignment horizontal="left" vertical="center"/>
      <protection/>
    </xf>
    <xf numFmtId="0" fontId="29" fillId="47" borderId="20" xfId="293" applyFont="1" applyFill="1" applyBorder="1" applyAlignment="1">
      <alignment horizontal="left"/>
      <protection/>
    </xf>
    <xf numFmtId="49" fontId="29" fillId="47" borderId="20" xfId="294" applyNumberFormat="1" applyFont="1" applyFill="1" applyBorder="1" applyAlignment="1" applyProtection="1">
      <alignment horizontal="center" vertical="center" wrapText="1"/>
      <protection/>
    </xf>
    <xf numFmtId="3" fontId="29" fillId="47" borderId="20" xfId="296" applyNumberFormat="1" applyFont="1" applyFill="1" applyBorder="1" applyAlignment="1" applyProtection="1">
      <alignment horizontal="left" vertical="center" wrapText="1" shrinkToFit="1"/>
      <protection locked="0"/>
    </xf>
    <xf numFmtId="3" fontId="29" fillId="47" borderId="20" xfId="296" applyNumberFormat="1" applyFont="1" applyFill="1" applyBorder="1" applyAlignment="1" applyProtection="1">
      <alignment vertical="center"/>
      <protection/>
    </xf>
    <xf numFmtId="3" fontId="29" fillId="47" borderId="21" xfId="296" applyNumberFormat="1" applyFont="1" applyFill="1" applyBorder="1" applyAlignment="1" applyProtection="1">
      <alignment vertical="center"/>
      <protection/>
    </xf>
    <xf numFmtId="49" fontId="29" fillId="47" borderId="20" xfId="287" applyNumberFormat="1" applyFont="1" applyFill="1" applyBorder="1" applyAlignment="1" applyProtection="1">
      <alignment vertical="center"/>
      <protection locked="0"/>
    </xf>
    <xf numFmtId="0" fontId="29" fillId="47" borderId="20" xfId="0" applyNumberFormat="1" applyFont="1" applyFill="1" applyBorder="1" applyAlignment="1" applyProtection="1">
      <alignment horizontal="left" vertical="center" wrapText="1"/>
      <protection/>
    </xf>
    <xf numFmtId="49" fontId="29" fillId="47" borderId="0" xfId="0" applyNumberFormat="1" applyFont="1" applyFill="1" applyAlignment="1">
      <alignment horizontal="left" vertical="center" wrapText="1"/>
    </xf>
    <xf numFmtId="0" fontId="29" fillId="47" borderId="21" xfId="0" applyNumberFormat="1" applyFont="1" applyFill="1" applyBorder="1" applyAlignment="1" applyProtection="1">
      <alignment horizontal="left" vertical="center" wrapText="1"/>
      <protection/>
    </xf>
    <xf numFmtId="0" fontId="29" fillId="47" borderId="20" xfId="291" applyFont="1" applyFill="1" applyBorder="1" applyAlignment="1">
      <alignment horizontal="left"/>
      <protection/>
    </xf>
    <xf numFmtId="49" fontId="29" fillId="47" borderId="20" xfId="296" applyNumberFormat="1" applyFont="1" applyFill="1" applyBorder="1" applyAlignment="1" applyProtection="1">
      <alignment vertical="center"/>
      <protection/>
    </xf>
    <xf numFmtId="0" fontId="0" fillId="50" borderId="20" xfId="294" applyFont="1" applyFill="1" applyBorder="1" applyAlignment="1" applyProtection="1">
      <alignment horizontal="center" vertical="center" wrapText="1"/>
      <protection/>
    </xf>
    <xf numFmtId="3" fontId="0" fillId="50" borderId="20" xfId="294" applyNumberFormat="1" applyFont="1" applyFill="1" applyBorder="1" applyAlignment="1" applyProtection="1">
      <alignment horizontal="right" vertical="center" wrapText="1"/>
      <protection/>
    </xf>
    <xf numFmtId="3" fontId="0" fillId="50" borderId="20" xfId="294" applyNumberFormat="1" applyFont="1" applyFill="1" applyBorder="1" applyAlignment="1">
      <alignment horizontal="right" vertical="center" wrapText="1"/>
      <protection/>
    </xf>
    <xf numFmtId="4" fontId="0" fillId="50" borderId="20" xfId="310" applyNumberFormat="1" applyFont="1" applyFill="1" applyBorder="1" applyAlignment="1">
      <alignment horizontal="right" vertical="center" wrapText="1"/>
    </xf>
    <xf numFmtId="3" fontId="0" fillId="50" borderId="20" xfId="0" applyNumberFormat="1" applyFont="1" applyFill="1" applyBorder="1" applyAlignment="1" applyProtection="1">
      <alignment horizontal="right" vertical="center" wrapText="1"/>
      <protection/>
    </xf>
    <xf numFmtId="3" fontId="0" fillId="50" borderId="20" xfId="310" applyNumberFormat="1" applyFont="1" applyFill="1" applyBorder="1" applyAlignment="1" applyProtection="1">
      <alignment horizontal="right" vertical="center" wrapText="1"/>
      <protection/>
    </xf>
    <xf numFmtId="49" fontId="0" fillId="50" borderId="20" xfId="294" applyNumberFormat="1" applyFont="1" applyFill="1" applyBorder="1" applyAlignment="1" applyProtection="1">
      <alignment horizontal="center" vertical="center" wrapText="1"/>
      <protection/>
    </xf>
    <xf numFmtId="210" fontId="0" fillId="50" borderId="20" xfId="0" applyNumberFormat="1" applyFont="1" applyFill="1" applyBorder="1" applyAlignment="1" applyProtection="1">
      <alignment horizontal="right" vertical="center"/>
      <protection/>
    </xf>
    <xf numFmtId="210" fontId="0" fillId="50" borderId="20" xfId="294" applyNumberFormat="1" applyFont="1" applyFill="1" applyBorder="1" applyAlignment="1" applyProtection="1">
      <alignment horizontal="right" vertical="center"/>
      <protection/>
    </xf>
    <xf numFmtId="210" fontId="0" fillId="50" borderId="20" xfId="308" applyNumberFormat="1" applyFont="1" applyFill="1" applyBorder="1" applyAlignment="1" applyProtection="1">
      <alignment horizontal="right" vertical="center"/>
      <protection/>
    </xf>
    <xf numFmtId="210" fontId="0" fillId="50" borderId="20" xfId="0" applyNumberFormat="1" applyFont="1" applyFill="1" applyBorder="1" applyAlignment="1">
      <alignment horizontal="right"/>
    </xf>
    <xf numFmtId="194" fontId="0" fillId="50" borderId="20" xfId="294" applyNumberFormat="1" applyFont="1" applyFill="1" applyBorder="1" applyAlignment="1" applyProtection="1">
      <alignment horizontal="right" vertical="center" shrinkToFit="1"/>
      <protection/>
    </xf>
    <xf numFmtId="210" fontId="0" fillId="50" borderId="20" xfId="0" applyNumberFormat="1" applyFont="1" applyFill="1" applyBorder="1" applyAlignment="1">
      <alignment horizontal="right" vertical="center"/>
    </xf>
    <xf numFmtId="3" fontId="0" fillId="50" borderId="20" xfId="0" applyNumberFormat="1" applyFont="1" applyFill="1" applyBorder="1" applyAlignment="1" applyProtection="1">
      <alignment horizontal="right" vertical="center"/>
      <protection/>
    </xf>
    <xf numFmtId="210" fontId="0" fillId="50" borderId="0" xfId="0" applyNumberFormat="1" applyFont="1" applyFill="1" applyAlignment="1">
      <alignment horizontal="right"/>
    </xf>
    <xf numFmtId="194" fontId="0" fillId="50" borderId="20" xfId="294" applyNumberFormat="1" applyFont="1" applyFill="1" applyBorder="1" applyAlignment="1" applyProtection="1">
      <alignment horizontal="right" vertical="center" shrinkToFit="1"/>
      <protection locked="0"/>
    </xf>
    <xf numFmtId="194" fontId="0" fillId="50" borderId="20" xfId="294" applyNumberFormat="1" applyFont="1" applyFill="1" applyBorder="1" applyAlignment="1">
      <alignment horizontal="right" vertical="center" shrinkToFit="1"/>
      <protection/>
    </xf>
    <xf numFmtId="211" fontId="0" fillId="50" borderId="20" xfId="0" applyNumberFormat="1" applyFont="1" applyFill="1" applyBorder="1" applyAlignment="1" applyProtection="1">
      <alignment horizontal="right" vertical="center"/>
      <protection/>
    </xf>
    <xf numFmtId="1" fontId="0" fillId="50" borderId="20" xfId="0" applyNumberFormat="1" applyFont="1" applyFill="1" applyBorder="1" applyAlignment="1" applyProtection="1">
      <alignment horizontal="right" vertical="center"/>
      <protection/>
    </xf>
    <xf numFmtId="1" fontId="0" fillId="50" borderId="20" xfId="304" applyNumberFormat="1" applyFont="1" applyFill="1" applyBorder="1" applyAlignment="1" applyProtection="1">
      <alignment horizontal="right" vertical="center"/>
      <protection/>
    </xf>
    <xf numFmtId="1" fontId="0" fillId="50" borderId="20" xfId="0" applyNumberFormat="1" applyFont="1" applyFill="1" applyBorder="1" applyAlignment="1">
      <alignment horizontal="right"/>
    </xf>
    <xf numFmtId="194" fontId="0" fillId="50" borderId="20" xfId="95" applyNumberFormat="1" applyFont="1" applyFill="1" applyBorder="1" applyAlignment="1" applyProtection="1">
      <alignment horizontal="right"/>
      <protection locked="0"/>
    </xf>
    <xf numFmtId="49" fontId="0" fillId="50" borderId="0" xfId="0" applyNumberFormat="1" applyFont="1" applyFill="1" applyAlignment="1" applyProtection="1">
      <alignment horizontal="right"/>
      <protection locked="0"/>
    </xf>
    <xf numFmtId="211" fontId="0" fillId="50" borderId="20" xfId="304" applyNumberFormat="1" applyFont="1" applyFill="1" applyBorder="1" applyAlignment="1" applyProtection="1">
      <alignment horizontal="right" vertical="center"/>
      <protection/>
    </xf>
    <xf numFmtId="211" fontId="0" fillId="50" borderId="20" xfId="0" applyNumberFormat="1" applyFont="1" applyFill="1" applyBorder="1" applyAlignment="1">
      <alignment horizontal="right"/>
    </xf>
    <xf numFmtId="217" fontId="0" fillId="50" borderId="20" xfId="0" applyNumberFormat="1" applyFont="1" applyFill="1" applyBorder="1" applyAlignment="1" applyProtection="1">
      <alignment horizontal="right" vertical="center"/>
      <protection hidden="1"/>
    </xf>
    <xf numFmtId="217" fontId="0" fillId="50" borderId="20" xfId="304" applyNumberFormat="1" applyFont="1" applyFill="1" applyBorder="1" applyAlignment="1" applyProtection="1">
      <alignment horizontal="right" vertical="center"/>
      <protection hidden="1"/>
    </xf>
    <xf numFmtId="217" fontId="0" fillId="50" borderId="20" xfId="0" applyNumberFormat="1" applyFont="1" applyFill="1" applyBorder="1" applyAlignment="1" applyProtection="1">
      <alignment horizontal="right"/>
      <protection hidden="1"/>
    </xf>
    <xf numFmtId="3" fontId="0" fillId="50" borderId="20" xfId="0" applyNumberFormat="1" applyFont="1" applyFill="1" applyBorder="1" applyAlignment="1">
      <alignment horizontal="right"/>
    </xf>
    <xf numFmtId="3" fontId="0" fillId="50" borderId="20" xfId="294" applyNumberFormat="1" applyFont="1" applyFill="1" applyBorder="1" applyAlignment="1" applyProtection="1">
      <alignment horizontal="right" vertical="center"/>
      <protection/>
    </xf>
    <xf numFmtId="3" fontId="0" fillId="50" borderId="21" xfId="294" applyNumberFormat="1" applyFont="1" applyFill="1" applyBorder="1" applyAlignment="1" applyProtection="1">
      <alignment horizontal="right" vertical="center"/>
      <protection/>
    </xf>
    <xf numFmtId="3" fontId="0" fillId="50" borderId="20" xfId="304" applyNumberFormat="1" applyFont="1" applyFill="1" applyBorder="1" applyAlignment="1" applyProtection="1">
      <alignment horizontal="right" vertical="center"/>
      <protection/>
    </xf>
    <xf numFmtId="49" fontId="0" fillId="50" borderId="20" xfId="0" applyNumberFormat="1" applyFont="1" applyFill="1" applyBorder="1" applyAlignment="1" applyProtection="1">
      <alignment horizontal="right" vertical="center"/>
      <protection/>
    </xf>
    <xf numFmtId="213" fontId="0" fillId="50" borderId="20" xfId="0" applyNumberFormat="1" applyFont="1" applyFill="1" applyBorder="1" applyAlignment="1" applyProtection="1">
      <alignment horizontal="right" vertical="center"/>
      <protection/>
    </xf>
    <xf numFmtId="49" fontId="0" fillId="50" borderId="20" xfId="304" applyNumberFormat="1" applyFont="1" applyFill="1" applyBorder="1" applyAlignment="1" applyProtection="1">
      <alignment horizontal="right" vertical="center"/>
      <protection/>
    </xf>
    <xf numFmtId="49" fontId="0" fillId="50" borderId="20" xfId="0" applyNumberFormat="1" applyFont="1" applyFill="1" applyBorder="1" applyAlignment="1">
      <alignment horizontal="right"/>
    </xf>
    <xf numFmtId="0" fontId="0" fillId="51" borderId="20" xfId="294" applyFont="1" applyFill="1" applyBorder="1" applyAlignment="1" applyProtection="1">
      <alignment horizontal="center" vertical="center" wrapText="1"/>
      <protection/>
    </xf>
    <xf numFmtId="3" fontId="0" fillId="51" borderId="20" xfId="294" applyNumberFormat="1" applyFont="1" applyFill="1" applyBorder="1" applyAlignment="1" applyProtection="1">
      <alignment horizontal="right" vertical="center" wrapText="1"/>
      <protection/>
    </xf>
    <xf numFmtId="3" fontId="0" fillId="51" borderId="20" xfId="294" applyNumberFormat="1" applyFont="1" applyFill="1" applyBorder="1" applyAlignment="1">
      <alignment horizontal="right" vertical="center" wrapText="1"/>
      <protection/>
    </xf>
    <xf numFmtId="4" fontId="0" fillId="51" borderId="20" xfId="310" applyNumberFormat="1" applyFont="1" applyFill="1" applyBorder="1" applyAlignment="1">
      <alignment horizontal="right" vertical="center" wrapText="1"/>
    </xf>
    <xf numFmtId="210" fontId="8" fillId="51" borderId="0" xfId="0" applyNumberFormat="1" applyFont="1" applyFill="1" applyAlignment="1">
      <alignment/>
    </xf>
    <xf numFmtId="3" fontId="0" fillId="51" borderId="20" xfId="0" applyNumberFormat="1" applyFont="1" applyFill="1" applyBorder="1" applyAlignment="1" applyProtection="1">
      <alignment horizontal="right" vertical="center" wrapText="1"/>
      <protection/>
    </xf>
    <xf numFmtId="3" fontId="29" fillId="51" borderId="20" xfId="294" applyNumberFormat="1" applyFont="1" applyFill="1" applyBorder="1" applyAlignment="1" applyProtection="1">
      <alignment vertical="center" wrapText="1"/>
      <protection/>
    </xf>
    <xf numFmtId="0" fontId="29" fillId="51" borderId="20" xfId="294" applyFont="1" applyFill="1" applyBorder="1" applyAlignment="1" applyProtection="1">
      <alignment horizontal="center" vertical="center" wrapText="1"/>
      <protection/>
    </xf>
    <xf numFmtId="0" fontId="120" fillId="51" borderId="20" xfId="296" applyFont="1" applyFill="1" applyBorder="1" applyAlignment="1" applyProtection="1">
      <alignment horizontal="left" vertical="center"/>
      <protection/>
    </xf>
    <xf numFmtId="0" fontId="29" fillId="51" borderId="20" xfId="296" applyFont="1" applyFill="1" applyBorder="1" applyAlignment="1" applyProtection="1">
      <alignment horizontal="left" vertical="center"/>
      <protection/>
    </xf>
    <xf numFmtId="0" fontId="29" fillId="51" borderId="20" xfId="293" applyFont="1" applyFill="1" applyBorder="1" applyAlignment="1">
      <alignment horizontal="left"/>
      <protection/>
    </xf>
    <xf numFmtId="0" fontId="29" fillId="51" borderId="20" xfId="296" applyFont="1" applyFill="1" applyBorder="1" applyAlignment="1" applyProtection="1">
      <alignment horizontal="left" vertical="top"/>
      <protection/>
    </xf>
    <xf numFmtId="211" fontId="29" fillId="50" borderId="20" xfId="0" applyNumberFormat="1" applyFont="1" applyFill="1" applyBorder="1" applyAlignment="1" applyProtection="1">
      <alignment vertical="center"/>
      <protection/>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0" fontId="30" fillId="0" borderId="0" xfId="288" applyFont="1" applyAlignment="1">
      <alignment horizontal="center"/>
      <protection/>
    </xf>
    <xf numFmtId="49" fontId="30" fillId="47" borderId="0" xfId="288" applyNumberFormat="1" applyFont="1" applyFill="1" applyAlignment="1">
      <alignment horizontal="center"/>
      <protection/>
    </xf>
    <xf numFmtId="49" fontId="30" fillId="0" borderId="0" xfId="288" applyNumberFormat="1" applyFont="1" applyBorder="1" applyAlignment="1">
      <alignment horizontal="center" wrapText="1"/>
      <protection/>
    </xf>
    <xf numFmtId="49" fontId="12" fillId="0" borderId="26" xfId="288" applyNumberFormat="1" applyFont="1" applyFill="1" applyBorder="1" applyAlignment="1">
      <alignment horizontal="center" vertical="center" wrapText="1"/>
      <protection/>
    </xf>
    <xf numFmtId="49" fontId="12" fillId="0" borderId="25" xfId="288" applyNumberFormat="1" applyFont="1" applyFill="1" applyBorder="1" applyAlignment="1">
      <alignment horizontal="center" vertical="center" wrapText="1"/>
      <protection/>
    </xf>
    <xf numFmtId="49" fontId="33" fillId="0" borderId="25" xfId="288" applyNumberFormat="1" applyFont="1" applyFill="1" applyBorder="1" applyAlignment="1">
      <alignment horizontal="center" vertical="center" wrapText="1"/>
      <protection/>
    </xf>
    <xf numFmtId="0" fontId="62" fillId="3" borderId="26" xfId="288" applyNumberFormat="1" applyFont="1" applyFill="1" applyBorder="1" applyAlignment="1">
      <alignment horizontal="center" vertical="center" wrapText="1"/>
      <protection/>
    </xf>
    <xf numFmtId="0" fontId="62" fillId="3" borderId="25" xfId="288" applyNumberFormat="1" applyFont="1" applyFill="1" applyBorder="1" applyAlignment="1">
      <alignment horizontal="center" vertical="center" wrapText="1"/>
      <protection/>
    </xf>
    <xf numFmtId="49" fontId="7" fillId="0" borderId="0" xfId="288" applyNumberFormat="1" applyFont="1" applyAlignment="1">
      <alignment horizontal="left"/>
      <protection/>
    </xf>
    <xf numFmtId="49" fontId="7" fillId="0" borderId="0" xfId="288" applyNumberFormat="1" applyFont="1" applyBorder="1" applyAlignment="1">
      <alignment horizontal="left" wrapText="1"/>
      <protection/>
    </xf>
    <xf numFmtId="49" fontId="0" fillId="0" borderId="0" xfId="288" applyNumberFormat="1" applyFont="1" applyBorder="1" applyAlignment="1">
      <alignment horizontal="left" wrapText="1"/>
      <protection/>
    </xf>
    <xf numFmtId="49" fontId="12" fillId="0" borderId="26" xfId="288" applyNumberFormat="1" applyFont="1" applyBorder="1" applyAlignment="1">
      <alignment horizontal="center" vertical="center" wrapText="1"/>
      <protection/>
    </xf>
    <xf numFmtId="49" fontId="12" fillId="0" borderId="41" xfId="288" applyNumberFormat="1" applyFont="1" applyBorder="1" applyAlignment="1">
      <alignment horizontal="center" vertical="center" wrapText="1"/>
      <protection/>
    </xf>
    <xf numFmtId="49" fontId="12" fillId="0" borderId="25" xfId="288" applyNumberFormat="1" applyFont="1" applyBorder="1" applyAlignment="1">
      <alignment horizontal="center" vertical="center" wrapText="1"/>
      <protection/>
    </xf>
    <xf numFmtId="49" fontId="23" fillId="0" borderId="22" xfId="288" applyNumberFormat="1" applyFont="1" applyFill="1" applyBorder="1" applyAlignment="1">
      <alignment horizontal="center" vertical="center"/>
      <protection/>
    </xf>
    <xf numFmtId="49" fontId="0" fillId="0" borderId="0" xfId="288" applyNumberFormat="1" applyFont="1" applyAlignment="1">
      <alignment horizontal="left"/>
      <protection/>
    </xf>
    <xf numFmtId="49" fontId="0" fillId="3" borderId="35" xfId="288" applyNumberFormat="1" applyFont="1" applyFill="1" applyBorder="1" applyAlignment="1">
      <alignment horizontal="center"/>
      <protection/>
    </xf>
    <xf numFmtId="49" fontId="0" fillId="3" borderId="19" xfId="288" applyNumberFormat="1" applyFont="1" applyFill="1" applyBorder="1" applyAlignment="1">
      <alignment horizontal="center"/>
      <protection/>
    </xf>
    <xf numFmtId="49" fontId="0" fillId="3" borderId="36" xfId="288" applyNumberFormat="1" applyFont="1" applyFill="1" applyBorder="1" applyAlignment="1">
      <alignment horizontal="center"/>
      <protection/>
    </xf>
    <xf numFmtId="3" fontId="40" fillId="47" borderId="38" xfId="288" applyNumberFormat="1" applyFont="1" applyFill="1" applyBorder="1" applyAlignment="1" applyProtection="1">
      <alignment horizontal="center" vertical="center" wrapText="1"/>
      <protection/>
    </xf>
    <xf numFmtId="3" fontId="40" fillId="47" borderId="23" xfId="288" applyNumberFormat="1" applyFont="1" applyFill="1" applyBorder="1" applyAlignment="1" applyProtection="1">
      <alignment horizontal="center" vertical="center" wrapText="1"/>
      <protection/>
    </xf>
    <xf numFmtId="49" fontId="12" fillId="0" borderId="20" xfId="288" applyNumberFormat="1" applyFont="1" applyFill="1" applyBorder="1" applyAlignment="1" applyProtection="1">
      <alignment horizontal="center" vertical="center" wrapText="1"/>
      <protection/>
    </xf>
    <xf numFmtId="3" fontId="12" fillId="47" borderId="21" xfId="288" applyNumberFormat="1" applyFont="1" applyFill="1" applyBorder="1" applyAlignment="1" applyProtection="1">
      <alignment horizontal="center" vertical="center" wrapText="1"/>
      <protection/>
    </xf>
    <xf numFmtId="3" fontId="12" fillId="47" borderId="23" xfId="288" applyNumberFormat="1" applyFont="1" applyFill="1" applyBorder="1" applyAlignment="1" applyProtection="1">
      <alignment horizontal="center" vertical="center" wrapText="1"/>
      <protection/>
    </xf>
    <xf numFmtId="49" fontId="19" fillId="47" borderId="0" xfId="288" applyNumberFormat="1" applyFont="1" applyFill="1" applyAlignment="1">
      <alignment horizontal="center" vertical="center" wrapText="1"/>
      <protection/>
    </xf>
    <xf numFmtId="0" fontId="61" fillId="3" borderId="26" xfId="288" applyNumberFormat="1" applyFont="1" applyFill="1" applyBorder="1" applyAlignment="1">
      <alignment horizontal="center" vertical="center" wrapText="1"/>
      <protection/>
    </xf>
    <xf numFmtId="0" fontId="61" fillId="3" borderId="25" xfId="288" applyNumberFormat="1" applyFont="1" applyFill="1" applyBorder="1" applyAlignment="1">
      <alignment horizontal="center" vertical="center" wrapText="1"/>
      <protection/>
    </xf>
    <xf numFmtId="49" fontId="39" fillId="0" borderId="0" xfId="288" applyNumberFormat="1" applyFont="1" applyAlignment="1">
      <alignment horizontal="center"/>
      <protection/>
    </xf>
    <xf numFmtId="49" fontId="12" fillId="0" borderId="20" xfId="288" applyNumberFormat="1" applyFont="1" applyFill="1" applyBorder="1" applyAlignment="1">
      <alignment horizontal="center" vertical="center" wrapText="1"/>
      <protection/>
    </xf>
    <xf numFmtId="49" fontId="23" fillId="0" borderId="0" xfId="288" applyNumberFormat="1" applyFont="1" applyAlignment="1">
      <alignment horizontal="left"/>
      <protection/>
    </xf>
    <xf numFmtId="0" fontId="12" fillId="0" borderId="35" xfId="288" applyNumberFormat="1" applyFont="1" applyBorder="1" applyAlignment="1">
      <alignment horizontal="center" vertical="center" wrapText="1"/>
      <protection/>
    </xf>
    <xf numFmtId="0" fontId="12" fillId="0" borderId="36" xfId="288" applyNumberFormat="1" applyFont="1" applyBorder="1" applyAlignment="1">
      <alignment horizontal="center" vertical="center" wrapText="1"/>
      <protection/>
    </xf>
    <xf numFmtId="0" fontId="12" fillId="0" borderId="24" xfId="288" applyNumberFormat="1" applyFont="1" applyBorder="1" applyAlignment="1">
      <alignment horizontal="center" vertical="center" wrapText="1"/>
      <protection/>
    </xf>
    <xf numFmtId="0" fontId="12" fillId="0" borderId="40" xfId="288" applyNumberFormat="1" applyFont="1" applyBorder="1" applyAlignment="1">
      <alignment horizontal="center" vertical="center" wrapText="1"/>
      <protection/>
    </xf>
    <xf numFmtId="49" fontId="71" fillId="0" borderId="0" xfId="288" applyNumberFormat="1" applyFont="1" applyBorder="1" applyAlignment="1">
      <alignment horizontal="center" wrapText="1"/>
      <protection/>
    </xf>
    <xf numFmtId="49" fontId="46" fillId="0" borderId="0" xfId="288" applyNumberFormat="1" applyFont="1" applyBorder="1" applyAlignment="1">
      <alignment horizontal="center" wrapText="1"/>
      <protection/>
    </xf>
    <xf numFmtId="49" fontId="34" fillId="0" borderId="0" xfId="288" applyNumberFormat="1" applyFont="1" applyAlignment="1">
      <alignment horizontal="center" wrapText="1"/>
      <protection/>
    </xf>
    <xf numFmtId="49" fontId="30" fillId="0" borderId="0" xfId="288" applyNumberFormat="1" applyFont="1" applyAlignment="1">
      <alignment horizontal="center"/>
      <protection/>
    </xf>
    <xf numFmtId="0" fontId="21" fillId="0" borderId="20" xfId="288" applyNumberFormat="1" applyFont="1" applyBorder="1" applyAlignment="1">
      <alignment horizontal="center" vertical="center" wrapText="1"/>
      <protection/>
    </xf>
    <xf numFmtId="49" fontId="12" fillId="44" borderId="26" xfId="288" applyNumberFormat="1" applyFont="1" applyFill="1" applyBorder="1" applyAlignment="1">
      <alignment horizontal="center" vertical="center"/>
      <protection/>
    </xf>
    <xf numFmtId="49" fontId="12" fillId="44" borderId="25" xfId="288" applyNumberFormat="1" applyFont="1" applyFill="1" applyBorder="1" applyAlignment="1">
      <alignment horizontal="center" vertical="center"/>
      <protection/>
    </xf>
    <xf numFmtId="49" fontId="37" fillId="0" borderId="0" xfId="288" applyNumberFormat="1" applyFont="1" applyBorder="1" applyAlignment="1">
      <alignment horizontal="center" wrapText="1"/>
      <protection/>
    </xf>
    <xf numFmtId="49" fontId="20" fillId="0" borderId="0" xfId="288" applyNumberFormat="1" applyFont="1" applyFill="1" applyBorder="1" applyAlignment="1">
      <alignment horizontal="center" vertical="center" wrapText="1"/>
      <protection/>
    </xf>
    <xf numFmtId="49" fontId="18" fillId="0" borderId="0" xfId="288" applyNumberFormat="1" applyFont="1" applyFill="1" applyAlignment="1">
      <alignment horizontal="left" wrapText="1"/>
      <protection/>
    </xf>
    <xf numFmtId="49" fontId="18" fillId="0" borderId="0" xfId="288" applyNumberFormat="1" applyFont="1" applyFill="1" applyAlignment="1">
      <alignment horizontal="center" wrapText="1"/>
      <protection/>
    </xf>
    <xf numFmtId="0" fontId="7" fillId="0" borderId="0" xfId="288" applyFont="1" applyAlignment="1">
      <alignment horizontal="center"/>
      <protection/>
    </xf>
    <xf numFmtId="49" fontId="7" fillId="47" borderId="0" xfId="288" applyNumberFormat="1" applyFont="1" applyFill="1" applyAlignment="1">
      <alignment horizontal="center"/>
      <protection/>
    </xf>
    <xf numFmtId="49" fontId="28" fillId="0" borderId="0" xfId="288" applyNumberFormat="1" applyFont="1" applyFill="1" applyBorder="1" applyAlignment="1">
      <alignment horizontal="center" wrapText="1"/>
      <protection/>
    </xf>
    <xf numFmtId="49" fontId="20" fillId="0" borderId="0" xfId="288" applyNumberFormat="1" applyFont="1" applyFill="1" applyBorder="1" applyAlignment="1">
      <alignment horizontal="center" wrapText="1"/>
      <protection/>
    </xf>
    <xf numFmtId="49" fontId="77" fillId="0" borderId="0" xfId="288" applyNumberFormat="1" applyFont="1" applyFill="1" applyAlignment="1">
      <alignment horizontal="center"/>
      <protection/>
    </xf>
    <xf numFmtId="49" fontId="23" fillId="0" borderId="0" xfId="288" applyNumberFormat="1" applyFont="1" applyFill="1" applyAlignment="1">
      <alignment horizontal="center"/>
      <protection/>
    </xf>
    <xf numFmtId="49" fontId="7" fillId="0" borderId="20" xfId="288" applyNumberFormat="1" applyFont="1" applyFill="1" applyBorder="1" applyAlignment="1">
      <alignment horizontal="center"/>
      <protection/>
    </xf>
    <xf numFmtId="49" fontId="11" fillId="0" borderId="20" xfId="288" applyNumberFormat="1" applyFont="1" applyFill="1" applyBorder="1" applyAlignment="1">
      <alignment horizontal="center" vertical="center" wrapText="1"/>
      <protection/>
    </xf>
    <xf numFmtId="49" fontId="0" fillId="0" borderId="0" xfId="288" applyNumberFormat="1" applyFont="1" applyFill="1" applyBorder="1" applyAlignment="1">
      <alignment horizontal="left"/>
      <protection/>
    </xf>
    <xf numFmtId="49" fontId="7" fillId="0" borderId="0" xfId="288" applyNumberFormat="1" applyFont="1" applyFill="1" applyBorder="1" applyAlignment="1">
      <alignment horizontal="left"/>
      <protection/>
    </xf>
    <xf numFmtId="49" fontId="7" fillId="0" borderId="0" xfId="288" applyNumberFormat="1" applyFont="1" applyFill="1" applyBorder="1" applyAlignment="1">
      <alignment horizontal="left" wrapText="1"/>
      <protection/>
    </xf>
    <xf numFmtId="49" fontId="0" fillId="0" borderId="0" xfId="288" applyNumberFormat="1" applyFont="1" applyFill="1" applyBorder="1" applyAlignment="1">
      <alignment horizontal="left" wrapText="1"/>
      <protection/>
    </xf>
    <xf numFmtId="49" fontId="11" fillId="0" borderId="22" xfId="288" applyNumberFormat="1" applyFont="1" applyFill="1" applyBorder="1" applyAlignment="1">
      <alignment horizontal="center" vertical="center" wrapText="1"/>
      <protection/>
    </xf>
    <xf numFmtId="49" fontId="11" fillId="0" borderId="41" xfId="288" applyNumberFormat="1" applyFont="1" applyFill="1" applyBorder="1" applyAlignment="1">
      <alignment horizontal="center" vertical="center" wrapText="1"/>
      <protection/>
    </xf>
    <xf numFmtId="49" fontId="11" fillId="0" borderId="25" xfId="288" applyNumberFormat="1" applyFont="1" applyFill="1" applyBorder="1" applyAlignment="1">
      <alignment horizontal="center" vertical="center" wrapText="1"/>
      <protection/>
    </xf>
    <xf numFmtId="49" fontId="73" fillId="3" borderId="26" xfId="288" applyNumberFormat="1" applyFont="1" applyFill="1" applyBorder="1" applyAlignment="1">
      <alignment horizontal="center" vertical="center" wrapText="1"/>
      <protection/>
    </xf>
    <xf numFmtId="49" fontId="73" fillId="3" borderId="25" xfId="288" applyNumberFormat="1" applyFont="1" applyFill="1" applyBorder="1" applyAlignment="1">
      <alignment horizontal="center" vertical="center" wrapText="1"/>
      <protection/>
    </xf>
    <xf numFmtId="49" fontId="12" fillId="44" borderId="26" xfId="288" applyNumberFormat="1" applyFont="1" applyFill="1" applyBorder="1" applyAlignment="1">
      <alignment horizontal="center"/>
      <protection/>
    </xf>
    <xf numFmtId="49" fontId="12" fillId="44" borderId="25" xfId="288" applyNumberFormat="1" applyFont="1" applyFill="1" applyBorder="1" applyAlignment="1">
      <alignment horizontal="center"/>
      <protection/>
    </xf>
    <xf numFmtId="49" fontId="26" fillId="0" borderId="26" xfId="288" applyNumberFormat="1" applyFont="1" applyFill="1" applyBorder="1" applyAlignment="1">
      <alignment horizontal="center" vertical="center" wrapText="1"/>
      <protection/>
    </xf>
    <xf numFmtId="49" fontId="26" fillId="0" borderId="25" xfId="288" applyNumberFormat="1" applyFont="1" applyFill="1" applyBorder="1" applyAlignment="1">
      <alignment horizontal="center" vertical="center" wrapText="1"/>
      <protection/>
    </xf>
    <xf numFmtId="0" fontId="11" fillId="0" borderId="35" xfId="288" applyNumberFormat="1" applyFont="1" applyFill="1" applyBorder="1" applyAlignment="1">
      <alignment horizontal="center" vertical="center" wrapText="1"/>
      <protection/>
    </xf>
    <xf numFmtId="0" fontId="11" fillId="0" borderId="36" xfId="288" applyNumberFormat="1" applyFont="1" applyFill="1" applyBorder="1" applyAlignment="1">
      <alignment horizontal="center" vertical="center" wrapText="1"/>
      <protection/>
    </xf>
    <xf numFmtId="0" fontId="11" fillId="0" borderId="24" xfId="288" applyNumberFormat="1" applyFont="1" applyFill="1" applyBorder="1" applyAlignment="1">
      <alignment horizontal="center" vertical="center" wrapText="1"/>
      <protection/>
    </xf>
    <xf numFmtId="0" fontId="11" fillId="0" borderId="40" xfId="288" applyNumberFormat="1" applyFont="1" applyFill="1" applyBorder="1" applyAlignment="1">
      <alignment horizontal="center" vertical="center" wrapText="1"/>
      <protection/>
    </xf>
    <xf numFmtId="0" fontId="11" fillId="0" borderId="27" xfId="288" applyNumberFormat="1" applyFont="1" applyFill="1" applyBorder="1" applyAlignment="1">
      <alignment horizontal="center" vertical="center" wrapText="1"/>
      <protection/>
    </xf>
    <xf numFmtId="0" fontId="11" fillId="0" borderId="37" xfId="288" applyNumberFormat="1" applyFont="1" applyFill="1" applyBorder="1" applyAlignment="1">
      <alignment horizontal="center" vertical="center" wrapText="1"/>
      <protection/>
    </xf>
    <xf numFmtId="49" fontId="11" fillId="0" borderId="26" xfId="288" applyNumberFormat="1" applyFont="1" applyFill="1" applyBorder="1" applyAlignment="1">
      <alignment horizontal="center" vertical="center" wrapText="1"/>
      <protection/>
    </xf>
    <xf numFmtId="49" fontId="11" fillId="0" borderId="38" xfId="288" applyNumberFormat="1" applyFont="1" applyFill="1" applyBorder="1" applyAlignment="1">
      <alignment horizontal="center" vertical="center" wrapText="1"/>
      <protection/>
    </xf>
    <xf numFmtId="49" fontId="11" fillId="0" borderId="23" xfId="288" applyNumberFormat="1" applyFont="1" applyFill="1" applyBorder="1" applyAlignment="1">
      <alignment horizontal="center" vertical="center" wrapText="1"/>
      <protection/>
    </xf>
    <xf numFmtId="49" fontId="74" fillId="3" borderId="26" xfId="288" applyNumberFormat="1" applyFont="1" applyFill="1" applyBorder="1" applyAlignment="1">
      <alignment horizontal="center" vertical="center" wrapText="1"/>
      <protection/>
    </xf>
    <xf numFmtId="49" fontId="74" fillId="3" borderId="25" xfId="288" applyNumberFormat="1" applyFont="1" applyFill="1" applyBorder="1" applyAlignment="1">
      <alignment horizontal="center" vertical="center" wrapText="1"/>
      <protection/>
    </xf>
    <xf numFmtId="49" fontId="7" fillId="0" borderId="0" xfId="288" applyNumberFormat="1" applyFont="1" applyFill="1" applyAlignment="1">
      <alignment horizontal="left"/>
      <protection/>
    </xf>
    <xf numFmtId="49" fontId="23" fillId="0" borderId="0" xfId="288" applyNumberFormat="1" applyFont="1" applyFill="1" applyBorder="1" applyAlignment="1">
      <alignment horizontal="left"/>
      <protection/>
    </xf>
    <xf numFmtId="49" fontId="0" fillId="0" borderId="0" xfId="288" applyNumberFormat="1" applyFont="1" applyFill="1" applyAlignment="1">
      <alignment horizontal="justify" wrapText="1"/>
      <protection/>
    </xf>
    <xf numFmtId="49" fontId="7" fillId="0" borderId="0" xfId="288" applyNumberFormat="1" applyFont="1" applyFill="1" applyAlignment="1">
      <alignment horizontal="center" vertical="top" wrapText="1"/>
      <protection/>
    </xf>
    <xf numFmtId="49" fontId="18" fillId="0" borderId="0" xfId="288" applyNumberFormat="1" applyFont="1" applyBorder="1" applyAlignment="1">
      <alignment wrapText="1"/>
      <protection/>
    </xf>
    <xf numFmtId="49" fontId="18" fillId="0" borderId="0" xfId="288" applyNumberFormat="1" applyFont="1" applyBorder="1" applyAlignment="1">
      <alignment horizontal="center" wrapText="1"/>
      <protection/>
    </xf>
    <xf numFmtId="49" fontId="12" fillId="44" borderId="26" xfId="288" applyNumberFormat="1" applyFont="1" applyFill="1" applyBorder="1" applyAlignment="1">
      <alignment horizontal="center" vertical="center" wrapText="1"/>
      <protection/>
    </xf>
    <xf numFmtId="49" fontId="12" fillId="44" borderId="25" xfId="288" applyNumberFormat="1" applyFont="1" applyFill="1" applyBorder="1" applyAlignment="1">
      <alignment horizontal="center" vertical="center" wrapText="1"/>
      <protection/>
    </xf>
    <xf numFmtId="49" fontId="21" fillId="0" borderId="26" xfId="288" applyNumberFormat="1" applyFont="1" applyBorder="1" applyAlignment="1">
      <alignment horizontal="center" wrapText="1"/>
      <protection/>
    </xf>
    <xf numFmtId="49" fontId="21" fillId="0" borderId="25" xfId="288" applyNumberFormat="1" applyFont="1" applyBorder="1" applyAlignment="1">
      <alignment horizontal="center" wrapText="1"/>
      <protection/>
    </xf>
    <xf numFmtId="49" fontId="34" fillId="0" borderId="0" xfId="288" applyNumberFormat="1" applyFont="1" applyBorder="1" applyAlignment="1">
      <alignment horizontal="center" wrapText="1"/>
      <protection/>
    </xf>
    <xf numFmtId="49" fontId="34" fillId="0" borderId="0" xfId="288" applyNumberFormat="1" applyFont="1" applyAlignment="1">
      <alignment horizontal="center"/>
      <protection/>
    </xf>
    <xf numFmtId="49" fontId="37" fillId="0" borderId="0" xfId="288" applyNumberFormat="1" applyFont="1" applyBorder="1" applyAlignment="1">
      <alignment horizontal="center"/>
      <protection/>
    </xf>
    <xf numFmtId="49" fontId="30" fillId="0" borderId="0" xfId="288" applyNumberFormat="1" applyFont="1" applyBorder="1" applyAlignment="1">
      <alignment horizontal="center"/>
      <protection/>
    </xf>
    <xf numFmtId="49" fontId="12" fillId="0" borderId="35" xfId="288" applyNumberFormat="1" applyFont="1" applyFill="1" applyBorder="1" applyAlignment="1">
      <alignment horizontal="center" vertical="center" wrapText="1"/>
      <protection/>
    </xf>
    <xf numFmtId="49" fontId="12" fillId="0" borderId="36" xfId="288" applyNumberFormat="1" applyFont="1" applyFill="1" applyBorder="1" applyAlignment="1">
      <alignment horizontal="center" vertical="center" wrapText="1"/>
      <protection/>
    </xf>
    <xf numFmtId="49" fontId="12" fillId="0" borderId="24" xfId="288" applyNumberFormat="1" applyFont="1" applyFill="1" applyBorder="1" applyAlignment="1">
      <alignment horizontal="center" vertical="center" wrapText="1"/>
      <protection/>
    </xf>
    <xf numFmtId="49" fontId="12" fillId="0" borderId="40" xfId="288" applyNumberFormat="1" applyFont="1" applyFill="1" applyBorder="1" applyAlignment="1">
      <alignment horizontal="center" vertical="center" wrapText="1"/>
      <protection/>
    </xf>
    <xf numFmtId="49" fontId="12" fillId="0" borderId="27" xfId="288" applyNumberFormat="1" applyFont="1" applyFill="1" applyBorder="1" applyAlignment="1">
      <alignment horizontal="center" vertical="center" wrapText="1"/>
      <protection/>
    </xf>
    <xf numFmtId="49" fontId="12" fillId="0" borderId="37" xfId="288" applyNumberFormat="1" applyFont="1" applyFill="1" applyBorder="1" applyAlignment="1">
      <alignment horizontal="center" vertical="center" wrapText="1"/>
      <protection/>
    </xf>
    <xf numFmtId="49" fontId="62" fillId="3" borderId="26" xfId="288" applyNumberFormat="1" applyFont="1" applyFill="1" applyBorder="1" applyAlignment="1">
      <alignment horizontal="center" wrapText="1"/>
      <protection/>
    </xf>
    <xf numFmtId="49" fontId="62" fillId="3" borderId="25" xfId="288" applyNumberFormat="1" applyFont="1" applyFill="1" applyBorder="1" applyAlignment="1">
      <alignment horizontal="center" wrapText="1"/>
      <protection/>
    </xf>
    <xf numFmtId="49" fontId="61" fillId="3" borderId="26" xfId="288" applyNumberFormat="1" applyFont="1" applyFill="1" applyBorder="1" applyAlignment="1">
      <alignment horizontal="center" wrapText="1"/>
      <protection/>
    </xf>
    <xf numFmtId="49" fontId="61" fillId="3" borderId="25" xfId="288" applyNumberFormat="1" applyFont="1" applyFill="1" applyBorder="1" applyAlignment="1">
      <alignment horizontal="center" wrapText="1"/>
      <protection/>
    </xf>
    <xf numFmtId="49" fontId="19" fillId="0" borderId="0" xfId="288" applyNumberFormat="1" applyFont="1" applyAlignment="1">
      <alignment horizontal="center" wrapText="1"/>
      <protection/>
    </xf>
    <xf numFmtId="49" fontId="23" fillId="0" borderId="22" xfId="288" applyNumberFormat="1" applyFont="1" applyBorder="1" applyAlignment="1">
      <alignment horizontal="left"/>
      <protection/>
    </xf>
    <xf numFmtId="49" fontId="23" fillId="0" borderId="0" xfId="288" applyNumberFormat="1" applyFont="1" applyAlignment="1">
      <alignment horizontal="center"/>
      <protection/>
    </xf>
    <xf numFmtId="49" fontId="23" fillId="0" borderId="0" xfId="288" applyNumberFormat="1" applyFont="1" applyBorder="1" applyAlignment="1">
      <alignment horizontal="left"/>
      <protection/>
    </xf>
    <xf numFmtId="49" fontId="0" fillId="0" borderId="0" xfId="288" applyNumberFormat="1" applyFont="1" applyAlignment="1">
      <alignment horizontal="left" wrapText="1"/>
      <protection/>
    </xf>
    <xf numFmtId="49" fontId="7" fillId="0" borderId="0" xfId="288" applyNumberFormat="1" applyFont="1" applyAlignment="1">
      <alignment horizontal="left" wrapText="1"/>
      <protection/>
    </xf>
    <xf numFmtId="49" fontId="0" fillId="0" borderId="0" xfId="288" applyNumberFormat="1" applyFont="1" applyAlignment="1">
      <alignment/>
      <protection/>
    </xf>
    <xf numFmtId="49" fontId="7" fillId="0" borderId="20" xfId="288" applyNumberFormat="1" applyFont="1" applyFill="1" applyBorder="1" applyAlignment="1">
      <alignment horizontal="center" vertical="center" wrapText="1"/>
      <protection/>
    </xf>
    <xf numFmtId="49" fontId="25" fillId="0" borderId="20" xfId="288" applyNumberFormat="1" applyFont="1" applyFill="1" applyBorder="1" applyAlignment="1">
      <alignment horizontal="center" vertical="center" wrapText="1"/>
      <protection/>
    </xf>
    <xf numFmtId="49" fontId="7" fillId="0" borderId="20" xfId="288" applyNumberFormat="1" applyFont="1" applyBorder="1" applyAlignment="1">
      <alignment horizontal="center"/>
      <protection/>
    </xf>
    <xf numFmtId="49" fontId="82" fillId="4" borderId="21" xfId="291" applyNumberFormat="1" applyFont="1" applyFill="1" applyBorder="1" applyAlignment="1">
      <alignment horizontal="center" vertical="center" wrapText="1"/>
      <protection/>
    </xf>
    <xf numFmtId="49" fontId="82" fillId="4" borderId="38" xfId="291" applyNumberFormat="1" applyFont="1" applyFill="1" applyBorder="1" applyAlignment="1">
      <alignment horizontal="center" vertical="center" wrapText="1"/>
      <protection/>
    </xf>
    <xf numFmtId="49" fontId="82" fillId="4" borderId="23" xfId="291" applyNumberFormat="1" applyFont="1" applyFill="1" applyBorder="1" applyAlignment="1">
      <alignment horizontal="center" vertical="center" wrapText="1"/>
      <protection/>
    </xf>
    <xf numFmtId="49" fontId="0" fillId="0" borderId="0" xfId="291" applyNumberFormat="1" applyFont="1" applyAlignment="1">
      <alignment horizontal="left"/>
      <protection/>
    </xf>
    <xf numFmtId="49" fontId="90" fillId="0" borderId="26" xfId="291" applyNumberFormat="1" applyFont="1" applyBorder="1" applyAlignment="1">
      <alignment horizontal="center" vertical="center" wrapText="1"/>
      <protection/>
    </xf>
    <xf numFmtId="49" fontId="90" fillId="0" borderId="25" xfId="291" applyNumberFormat="1" applyFont="1" applyBorder="1" applyAlignment="1">
      <alignment horizontal="center" vertical="center" wrapText="1"/>
      <protection/>
    </xf>
    <xf numFmtId="49" fontId="37" fillId="0" borderId="0" xfId="291" applyNumberFormat="1" applyFont="1" applyBorder="1" applyAlignment="1">
      <alignment horizontal="center" wrapText="1"/>
      <protection/>
    </xf>
    <xf numFmtId="49" fontId="11" fillId="0" borderId="41" xfId="291" applyNumberFormat="1" applyFont="1" applyFill="1" applyBorder="1" applyAlignment="1">
      <alignment horizontal="center" vertical="center"/>
      <protection/>
    </xf>
    <xf numFmtId="49" fontId="11" fillId="0" borderId="20" xfId="291" applyNumberFormat="1" applyFont="1" applyFill="1" applyBorder="1" applyAlignment="1">
      <alignment horizontal="center" vertical="center" wrapText="1"/>
      <protection/>
    </xf>
    <xf numFmtId="49" fontId="11" fillId="0" borderId="21" xfId="291" applyNumberFormat="1" applyFont="1" applyFill="1" applyBorder="1" applyAlignment="1">
      <alignment horizontal="center" vertical="center" wrapText="1"/>
      <protection/>
    </xf>
    <xf numFmtId="49" fontId="11" fillId="0" borderId="38" xfId="291" applyNumberFormat="1" applyFont="1" applyFill="1" applyBorder="1" applyAlignment="1">
      <alignment horizontal="center" vertical="center" wrapText="1"/>
      <protection/>
    </xf>
    <xf numFmtId="49" fontId="11" fillId="0" borderId="23" xfId="291" applyNumberFormat="1" applyFont="1" applyFill="1" applyBorder="1" applyAlignment="1">
      <alignment horizontal="center" vertical="center" wrapText="1"/>
      <protection/>
    </xf>
    <xf numFmtId="49" fontId="18" fillId="0" borderId="0" xfId="291" applyNumberFormat="1" applyFont="1" applyAlignment="1">
      <alignment horizontal="center"/>
      <protection/>
    </xf>
    <xf numFmtId="49" fontId="37" fillId="0" borderId="0" xfId="291" applyNumberFormat="1" applyFont="1" applyBorder="1" applyAlignment="1">
      <alignment horizontal="center"/>
      <protection/>
    </xf>
    <xf numFmtId="49" fontId="92" fillId="3" borderId="26" xfId="291" applyNumberFormat="1" applyFont="1" applyFill="1" applyBorder="1" applyAlignment="1">
      <alignment horizontal="center" vertical="center" wrapText="1"/>
      <protection/>
    </xf>
    <xf numFmtId="49" fontId="92" fillId="3" borderId="25" xfId="291" applyNumberFormat="1" applyFont="1" applyFill="1" applyBorder="1" applyAlignment="1">
      <alignment horizontal="center" vertical="center" wrapText="1"/>
      <protection/>
    </xf>
    <xf numFmtId="49" fontId="34" fillId="0" borderId="0" xfId="291" applyNumberFormat="1" applyFont="1" applyAlignment="1">
      <alignment horizontal="center"/>
      <protection/>
    </xf>
    <xf numFmtId="0" fontId="30" fillId="47" borderId="0" xfId="291" applyFont="1" applyFill="1" applyBorder="1" applyAlignment="1">
      <alignment horizontal="center"/>
      <protection/>
    </xf>
    <xf numFmtId="49" fontId="37" fillId="0" borderId="0" xfId="291" applyNumberFormat="1" applyFont="1" applyAlignment="1">
      <alignment horizontal="center"/>
      <protection/>
    </xf>
    <xf numFmtId="49" fontId="30" fillId="0" borderId="0" xfId="291" applyNumberFormat="1" applyFont="1" applyBorder="1" applyAlignment="1">
      <alignment horizontal="center" wrapText="1"/>
      <protection/>
    </xf>
    <xf numFmtId="49" fontId="11" fillId="0" borderId="26" xfId="291" applyNumberFormat="1" applyFont="1" applyBorder="1" applyAlignment="1">
      <alignment horizontal="center" vertical="center" wrapText="1"/>
      <protection/>
    </xf>
    <xf numFmtId="49" fontId="11" fillId="0" borderId="25" xfId="291" applyNumberFormat="1" applyFont="1" applyBorder="1" applyAlignment="1">
      <alignment horizontal="center" vertical="center" wrapText="1"/>
      <protection/>
    </xf>
    <xf numFmtId="49" fontId="30" fillId="0" borderId="0" xfId="291" applyNumberFormat="1" applyFont="1" applyBorder="1" applyAlignment="1">
      <alignment horizontal="center"/>
      <protection/>
    </xf>
    <xf numFmtId="49" fontId="7" fillId="0" borderId="0" xfId="291" applyNumberFormat="1" applyFont="1" applyBorder="1" applyAlignment="1">
      <alignment horizontal="left"/>
      <protection/>
    </xf>
    <xf numFmtId="49" fontId="11" fillId="0" borderId="35" xfId="291" applyNumberFormat="1" applyFont="1" applyFill="1" applyBorder="1" applyAlignment="1">
      <alignment horizontal="center" vertical="center"/>
      <protection/>
    </xf>
    <xf numFmtId="49" fontId="11" fillId="0" borderId="36" xfId="291" applyNumberFormat="1" applyFont="1" applyFill="1" applyBorder="1" applyAlignment="1">
      <alignment horizontal="center" vertical="center"/>
      <protection/>
    </xf>
    <xf numFmtId="49" fontId="11" fillId="0" borderId="24" xfId="291" applyNumberFormat="1" applyFont="1" applyFill="1" applyBorder="1" applyAlignment="1">
      <alignment horizontal="center" vertical="center"/>
      <protection/>
    </xf>
    <xf numFmtId="49" fontId="11" fillId="0" borderId="40" xfId="291" applyNumberFormat="1" applyFont="1" applyFill="1" applyBorder="1" applyAlignment="1">
      <alignment horizontal="center" vertical="center"/>
      <protection/>
    </xf>
    <xf numFmtId="49" fontId="11" fillId="0" borderId="27" xfId="291" applyNumberFormat="1" applyFont="1" applyFill="1" applyBorder="1" applyAlignment="1">
      <alignment horizontal="center" vertical="center"/>
      <protection/>
    </xf>
    <xf numFmtId="49" fontId="11" fillId="0" borderId="37" xfId="291" applyNumberFormat="1" applyFont="1" applyFill="1" applyBorder="1" applyAlignment="1">
      <alignment horizontal="center" vertical="center"/>
      <protection/>
    </xf>
    <xf numFmtId="49" fontId="19" fillId="0" borderId="0" xfId="291" applyNumberFormat="1" applyFont="1" applyFill="1" applyAlignment="1">
      <alignment horizontal="center" wrapText="1"/>
      <protection/>
    </xf>
    <xf numFmtId="49" fontId="19" fillId="0" borderId="0" xfId="291" applyNumberFormat="1" applyFont="1" applyAlignment="1">
      <alignment horizontal="center"/>
      <protection/>
    </xf>
    <xf numFmtId="49" fontId="8" fillId="0" borderId="0" xfId="291" applyNumberFormat="1" applyFont="1" applyAlignment="1">
      <alignment horizontal="left"/>
      <protection/>
    </xf>
    <xf numFmtId="49" fontId="11" fillId="0" borderId="26" xfId="291" applyNumberFormat="1" applyFont="1" applyFill="1" applyBorder="1" applyAlignment="1">
      <alignment horizontal="center" vertical="center"/>
      <protection/>
    </xf>
    <xf numFmtId="49" fontId="7" fillId="0" borderId="0" xfId="291" applyNumberFormat="1" applyFont="1" applyFill="1" applyAlignment="1">
      <alignment horizontal="left"/>
      <protection/>
    </xf>
    <xf numFmtId="49" fontId="39" fillId="0" borderId="0" xfId="291" applyNumberFormat="1" applyFont="1" applyAlignment="1">
      <alignment horizontal="center"/>
      <protection/>
    </xf>
    <xf numFmtId="49" fontId="23" fillId="0" borderId="0" xfId="291" applyNumberFormat="1" applyFont="1" applyBorder="1" applyAlignment="1">
      <alignment horizontal="left"/>
      <protection/>
    </xf>
    <xf numFmtId="49" fontId="11" fillId="0" borderId="26" xfId="291" applyNumberFormat="1" applyFont="1" applyFill="1" applyBorder="1" applyAlignment="1">
      <alignment horizontal="center" vertical="center" wrapText="1"/>
      <protection/>
    </xf>
    <xf numFmtId="49" fontId="91" fillId="3" borderId="26" xfId="291" applyNumberFormat="1" applyFont="1" applyFill="1" applyBorder="1" applyAlignment="1">
      <alignment horizontal="center" vertical="center" wrapText="1"/>
      <protection/>
    </xf>
    <xf numFmtId="49" fontId="91" fillId="3" borderId="25" xfId="291" applyNumberFormat="1" applyFont="1" applyFill="1" applyBorder="1" applyAlignment="1">
      <alignment horizontal="center" vertical="center" wrapText="1"/>
      <protection/>
    </xf>
    <xf numFmtId="49" fontId="11" fillId="0" borderId="25" xfId="291" applyNumberFormat="1" applyFont="1" applyFill="1" applyBorder="1" applyAlignment="1">
      <alignment horizontal="center" vertical="center" wrapText="1"/>
      <protection/>
    </xf>
    <xf numFmtId="0" fontId="11" fillId="0" borderId="21" xfId="291" applyFont="1" applyBorder="1" applyAlignment="1">
      <alignment horizontal="center" vertical="center" wrapText="1"/>
      <protection/>
    </xf>
    <xf numFmtId="0" fontId="11" fillId="0" borderId="38" xfId="291" applyFont="1" applyBorder="1" applyAlignment="1">
      <alignment horizontal="center" vertical="center" wrapText="1"/>
      <protection/>
    </xf>
    <xf numFmtId="0" fontId="11" fillId="0" borderId="23" xfId="291" applyFont="1" applyBorder="1" applyAlignment="1">
      <alignment horizontal="center" vertical="center" wrapText="1"/>
      <protection/>
    </xf>
    <xf numFmtId="0" fontId="11" fillId="0" borderId="20" xfId="291" applyFont="1" applyBorder="1" applyAlignment="1">
      <alignment horizontal="center" vertical="center" wrapText="1"/>
      <protection/>
    </xf>
    <xf numFmtId="0" fontId="26" fillId="0" borderId="26" xfId="291" applyFont="1" applyBorder="1" applyAlignment="1">
      <alignment horizontal="center" vertical="center" wrapText="1"/>
      <protection/>
    </xf>
    <xf numFmtId="0" fontId="26" fillId="0" borderId="25" xfId="291" applyFont="1" applyBorder="1" applyAlignment="1">
      <alignment horizontal="center" vertical="center" wrapText="1"/>
      <protection/>
    </xf>
    <xf numFmtId="49" fontId="11" fillId="0" borderId="19" xfId="291" applyNumberFormat="1" applyFont="1" applyFill="1" applyBorder="1" applyAlignment="1">
      <alignment horizontal="center" vertical="center"/>
      <protection/>
    </xf>
    <xf numFmtId="49" fontId="11" fillId="0" borderId="0" xfId="291" applyNumberFormat="1" applyFont="1" applyFill="1" applyBorder="1" applyAlignment="1">
      <alignment horizontal="center" vertical="center"/>
      <protection/>
    </xf>
    <xf numFmtId="49" fontId="11" fillId="0" borderId="22" xfId="291" applyNumberFormat="1" applyFont="1" applyFill="1" applyBorder="1" applyAlignment="1">
      <alignment horizontal="center" vertical="center"/>
      <protection/>
    </xf>
    <xf numFmtId="0" fontId="11" fillId="0" borderId="25" xfId="291" applyFont="1" applyBorder="1" applyAlignment="1">
      <alignment horizontal="center" vertical="center" wrapText="1"/>
      <protection/>
    </xf>
    <xf numFmtId="0" fontId="11" fillId="0" borderId="41" xfId="291" applyFont="1" applyBorder="1" applyAlignment="1">
      <alignment horizontal="center" vertical="center"/>
      <protection/>
    </xf>
    <xf numFmtId="0" fontId="11" fillId="0" borderId="25" xfId="291" applyFont="1" applyBorder="1" applyAlignment="1">
      <alignment horizontal="center" vertical="center"/>
      <protection/>
    </xf>
    <xf numFmtId="0" fontId="11" fillId="0" borderId="20" xfId="291" applyFont="1" applyBorder="1" applyAlignment="1">
      <alignment horizontal="center" vertical="center"/>
      <protection/>
    </xf>
    <xf numFmtId="0" fontId="11" fillId="0" borderId="26" xfId="291" applyFont="1" applyBorder="1" applyAlignment="1">
      <alignment horizontal="center" vertical="center" wrapText="1"/>
      <protection/>
    </xf>
    <xf numFmtId="0" fontId="18" fillId="0" borderId="22" xfId="291" applyFont="1" applyBorder="1" applyAlignment="1">
      <alignment horizontal="left"/>
      <protection/>
    </xf>
    <xf numFmtId="0" fontId="11" fillId="0" borderId="26" xfId="291" applyFont="1" applyBorder="1" applyAlignment="1">
      <alignment horizontal="center" vertical="center"/>
      <protection/>
    </xf>
    <xf numFmtId="0" fontId="73" fillId="3" borderId="26" xfId="291" applyFont="1" applyFill="1" applyBorder="1" applyAlignment="1">
      <alignment horizontal="center" vertical="center" wrapText="1"/>
      <protection/>
    </xf>
    <xf numFmtId="0" fontId="73" fillId="3" borderId="25" xfId="291" applyFont="1" applyFill="1" applyBorder="1" applyAlignment="1">
      <alignment horizontal="center" vertical="center" wrapText="1"/>
      <protection/>
    </xf>
    <xf numFmtId="0" fontId="17" fillId="0" borderId="20" xfId="291" applyFont="1" applyBorder="1" applyAlignment="1">
      <alignment horizontal="center" vertical="center" wrapText="1"/>
      <protection/>
    </xf>
    <xf numFmtId="0" fontId="11" fillId="0" borderId="20" xfId="291" applyFont="1" applyFill="1" applyBorder="1" applyAlignment="1">
      <alignment horizontal="center" vertical="center" wrapText="1"/>
      <protection/>
    </xf>
    <xf numFmtId="0" fontId="11" fillId="0" borderId="35" xfId="291" applyFont="1" applyBorder="1" applyAlignment="1">
      <alignment horizontal="center" vertical="center" wrapText="1"/>
      <protection/>
    </xf>
    <xf numFmtId="0" fontId="11" fillId="0" borderId="19" xfId="291" applyFont="1" applyBorder="1" applyAlignment="1">
      <alignment horizontal="center" vertical="center" wrapText="1"/>
      <protection/>
    </xf>
    <xf numFmtId="0" fontId="11" fillId="0" borderId="36" xfId="291" applyFont="1" applyBorder="1" applyAlignment="1">
      <alignment horizontal="center" vertical="center" wrapText="1"/>
      <protection/>
    </xf>
    <xf numFmtId="0" fontId="11" fillId="0" borderId="24" xfId="291" applyFont="1" applyBorder="1" applyAlignment="1">
      <alignment horizontal="center" vertical="center" wrapText="1"/>
      <protection/>
    </xf>
    <xf numFmtId="0" fontId="11" fillId="0" borderId="0" xfId="291" applyFont="1" applyBorder="1" applyAlignment="1">
      <alignment horizontal="center" vertical="center" wrapText="1"/>
      <protection/>
    </xf>
    <xf numFmtId="0" fontId="11" fillId="0" borderId="40" xfId="291" applyFont="1" applyBorder="1" applyAlignment="1">
      <alignment horizontal="center" vertical="center" wrapText="1"/>
      <protection/>
    </xf>
    <xf numFmtId="0" fontId="74" fillId="3" borderId="26" xfId="291" applyFont="1" applyFill="1" applyBorder="1" applyAlignment="1">
      <alignment horizontal="center" vertical="center" wrapText="1"/>
      <protection/>
    </xf>
    <xf numFmtId="0" fontId="74" fillId="3" borderId="25" xfId="291" applyFont="1" applyFill="1" applyBorder="1" applyAlignment="1">
      <alignment horizontal="center" vertical="center" wrapText="1"/>
      <protection/>
    </xf>
    <xf numFmtId="0" fontId="37" fillId="0" borderId="0" xfId="291" applyNumberFormat="1" applyFont="1" applyBorder="1" applyAlignment="1">
      <alignment horizontal="center"/>
      <protection/>
    </xf>
    <xf numFmtId="0" fontId="37" fillId="0" borderId="0" xfId="291" applyFont="1" applyBorder="1" applyAlignment="1">
      <alignment horizontal="center" wrapText="1"/>
      <protection/>
    </xf>
    <xf numFmtId="0" fontId="30" fillId="0" borderId="0" xfId="291" applyFont="1" applyBorder="1" applyAlignment="1">
      <alignment horizontal="center" wrapText="1"/>
      <protection/>
    </xf>
    <xf numFmtId="0" fontId="30" fillId="0" borderId="0" xfId="291" applyNumberFormat="1" applyFont="1" applyBorder="1" applyAlignment="1">
      <alignment horizontal="center"/>
      <protection/>
    </xf>
    <xf numFmtId="0" fontId="94" fillId="0" borderId="0" xfId="291" applyFont="1" applyAlignment="1">
      <alignment horizontal="center"/>
      <protection/>
    </xf>
    <xf numFmtId="0" fontId="7" fillId="0" borderId="0" xfId="291" applyNumberFormat="1" applyFont="1" applyAlignment="1">
      <alignment horizontal="left"/>
      <protection/>
    </xf>
    <xf numFmtId="0" fontId="0" fillId="0" borderId="0" xfId="291" applyFont="1" applyAlignment="1">
      <alignment horizontal="left"/>
      <protection/>
    </xf>
    <xf numFmtId="0" fontId="0" fillId="0" borderId="0" xfId="291" applyFont="1" applyBorder="1" applyAlignment="1">
      <alignment/>
      <protection/>
    </xf>
    <xf numFmtId="0" fontId="19" fillId="0" borderId="0" xfId="291" applyFont="1" applyAlignment="1">
      <alignment horizontal="center" wrapText="1"/>
      <protection/>
    </xf>
    <xf numFmtId="0" fontId="18" fillId="0" borderId="0" xfId="291" applyFont="1" applyBorder="1" applyAlignment="1">
      <alignment horizontal="center"/>
      <protection/>
    </xf>
    <xf numFmtId="0" fontId="19" fillId="0" borderId="0" xfId="291" applyFont="1" applyAlignment="1">
      <alignment horizontal="center"/>
      <protection/>
    </xf>
    <xf numFmtId="0" fontId="39" fillId="0" borderId="0" xfId="291" applyFont="1" applyAlignment="1">
      <alignment horizontal="center"/>
      <protection/>
    </xf>
    <xf numFmtId="3" fontId="0" fillId="47" borderId="0" xfId="291" applyNumberFormat="1" applyFont="1" applyFill="1" applyBorder="1" applyAlignment="1">
      <alignment horizontal="left"/>
      <protection/>
    </xf>
    <xf numFmtId="0" fontId="7" fillId="0" borderId="0" xfId="291" applyFont="1" applyBorder="1" applyAlignment="1">
      <alignment horizontal="left"/>
      <protection/>
    </xf>
    <xf numFmtId="0" fontId="0" fillId="0" borderId="0" xfId="291" applyFont="1" applyBorder="1" applyAlignment="1">
      <alignment horizontal="left"/>
      <protection/>
    </xf>
    <xf numFmtId="49" fontId="24" fillId="0" borderId="22" xfId="291" applyNumberFormat="1" applyFont="1" applyBorder="1" applyAlignment="1">
      <alignment horizontal="center"/>
      <protection/>
    </xf>
    <xf numFmtId="49" fontId="80" fillId="0" borderId="20" xfId="291" applyNumberFormat="1" applyFont="1" applyBorder="1" applyAlignment="1">
      <alignment horizontal="center" vertical="center" wrapText="1"/>
      <protection/>
    </xf>
    <xf numFmtId="49" fontId="17" fillId="0" borderId="20" xfId="291" applyNumberFormat="1" applyFont="1" applyBorder="1" applyAlignment="1">
      <alignment horizontal="center" vertical="center" wrapText="1"/>
      <protection/>
    </xf>
    <xf numFmtId="49" fontId="7" fillId="0" borderId="0" xfId="291" applyNumberFormat="1" applyFont="1" applyAlignment="1">
      <alignment horizontal="left"/>
      <protection/>
    </xf>
    <xf numFmtId="49" fontId="10" fillId="0" borderId="0" xfId="291" applyNumberFormat="1" applyFont="1" applyBorder="1" applyAlignment="1">
      <alignment horizontal="left" wrapText="1"/>
      <protection/>
    </xf>
    <xf numFmtId="49" fontId="10" fillId="0" borderId="0" xfId="291" applyNumberFormat="1" applyFont="1" applyBorder="1" applyAlignment="1">
      <alignment horizontal="left"/>
      <protection/>
    </xf>
    <xf numFmtId="49" fontId="19" fillId="0" borderId="0" xfId="291" applyNumberFormat="1" applyFont="1" applyAlignment="1">
      <alignment horizontal="center" wrapText="1"/>
      <protection/>
    </xf>
    <xf numFmtId="49" fontId="0" fillId="47" borderId="0" xfId="291" applyNumberFormat="1" applyFont="1" applyFill="1" applyBorder="1" applyAlignment="1">
      <alignment horizontal="left" vertical="top" wrapText="1"/>
      <protection/>
    </xf>
    <xf numFmtId="49" fontId="7" fillId="47" borderId="0" xfId="291" applyNumberFormat="1" applyFont="1" applyFill="1" applyBorder="1" applyAlignment="1">
      <alignment horizontal="left" vertical="top" wrapText="1"/>
      <protection/>
    </xf>
    <xf numFmtId="49" fontId="0" fillId="0" borderId="0" xfId="291" applyNumberFormat="1" applyFont="1" applyAlignment="1">
      <alignment horizontal="justify" vertical="top"/>
      <protection/>
    </xf>
    <xf numFmtId="49" fontId="0" fillId="0" borderId="0" xfId="291" applyNumberFormat="1" applyFont="1" applyBorder="1" applyAlignment="1">
      <alignment horizontal="justify" vertical="top" wrapText="1"/>
      <protection/>
    </xf>
    <xf numFmtId="49" fontId="0" fillId="0" borderId="0" xfId="291" applyNumberFormat="1" applyFont="1" applyBorder="1" applyAlignment="1">
      <alignment horizontal="justify" vertical="top"/>
      <protection/>
    </xf>
    <xf numFmtId="49" fontId="23" fillId="0" borderId="0" xfId="291" applyNumberFormat="1" applyFont="1" applyAlignment="1">
      <alignment horizontal="center" wrapText="1"/>
      <protection/>
    </xf>
    <xf numFmtId="49" fontId="85" fillId="0" borderId="0" xfId="291" applyNumberFormat="1" applyFont="1" applyAlignment="1">
      <alignment horizontal="center"/>
      <protection/>
    </xf>
    <xf numFmtId="49" fontId="11" fillId="0" borderId="20" xfId="291" applyNumberFormat="1" applyFont="1" applyFill="1" applyBorder="1" applyAlignment="1">
      <alignment horizontal="center" vertical="center"/>
      <protection/>
    </xf>
    <xf numFmtId="49" fontId="83" fillId="3" borderId="26" xfId="291" applyNumberFormat="1" applyFont="1" applyFill="1" applyBorder="1" applyAlignment="1">
      <alignment horizontal="center" vertical="center" wrapText="1"/>
      <protection/>
    </xf>
    <xf numFmtId="49" fontId="83" fillId="3" borderId="25" xfId="291" applyNumberFormat="1" applyFont="1" applyFill="1" applyBorder="1" applyAlignment="1">
      <alignment horizontal="center" vertical="center" wrapText="1"/>
      <protection/>
    </xf>
    <xf numFmtId="49" fontId="81" fillId="3" borderId="26" xfId="291" applyNumberFormat="1" applyFont="1" applyFill="1" applyBorder="1" applyAlignment="1">
      <alignment horizontal="center" vertical="center" wrapText="1"/>
      <protection/>
    </xf>
    <xf numFmtId="49" fontId="81" fillId="3" borderId="25" xfId="291" applyNumberFormat="1" applyFont="1" applyFill="1" applyBorder="1" applyAlignment="1">
      <alignment horizontal="center" vertical="center" wrapText="1"/>
      <protection/>
    </xf>
    <xf numFmtId="49" fontId="11" fillId="0" borderId="21" xfId="291" applyNumberFormat="1" applyFont="1" applyBorder="1" applyAlignment="1">
      <alignment horizontal="center" vertical="center" wrapText="1"/>
      <protection/>
    </xf>
    <xf numFmtId="49" fontId="11" fillId="0" borderId="38" xfId="291" applyNumberFormat="1" applyFont="1" applyBorder="1" applyAlignment="1">
      <alignment horizontal="center" vertical="center" wrapText="1"/>
      <protection/>
    </xf>
    <xf numFmtId="49" fontId="11" fillId="0" borderId="23" xfId="291" applyNumberFormat="1" applyFont="1" applyBorder="1" applyAlignment="1">
      <alignment horizontal="center" vertical="center" wrapText="1"/>
      <protection/>
    </xf>
    <xf numFmtId="49" fontId="37" fillId="0" borderId="0" xfId="291" applyNumberFormat="1" applyFont="1" applyBorder="1" applyAlignment="1">
      <alignment horizontal="left" wrapText="1"/>
      <protection/>
    </xf>
    <xf numFmtId="49" fontId="23" fillId="0" borderId="22" xfId="291" applyNumberFormat="1" applyFont="1" applyBorder="1" applyAlignment="1">
      <alignment horizontal="left"/>
      <protection/>
    </xf>
    <xf numFmtId="49" fontId="11" fillId="0" borderId="41" xfId="291" applyNumberFormat="1" applyFont="1" applyBorder="1" applyAlignment="1">
      <alignment horizontal="center" vertical="center" wrapText="1"/>
      <protection/>
    </xf>
    <xf numFmtId="49" fontId="24" fillId="0" borderId="0" xfId="291" applyNumberFormat="1" applyFont="1" applyAlignment="1">
      <alignment horizontal="center"/>
      <protection/>
    </xf>
    <xf numFmtId="49" fontId="12" fillId="0" borderId="0" xfId="291" applyNumberFormat="1" applyFont="1" applyAlignment="1">
      <alignment horizontal="left"/>
      <protection/>
    </xf>
    <xf numFmtId="49" fontId="18" fillId="0" borderId="0" xfId="291" applyNumberFormat="1" applyFont="1" applyBorder="1" applyAlignment="1">
      <alignment horizontal="left"/>
      <protection/>
    </xf>
    <xf numFmtId="49" fontId="12" fillId="0" borderId="26" xfId="291" applyNumberFormat="1" applyFont="1" applyBorder="1" applyAlignment="1">
      <alignment horizontal="center" vertical="center" wrapText="1"/>
      <protection/>
    </xf>
    <xf numFmtId="49" fontId="12" fillId="0" borderId="25" xfId="291" applyNumberFormat="1" applyFont="1" applyBorder="1" applyAlignment="1">
      <alignment horizontal="center" vertical="center" wrapText="1"/>
      <protection/>
    </xf>
    <xf numFmtId="49" fontId="8" fillId="0" borderId="0" xfId="291" applyNumberFormat="1" applyFont="1" applyAlignment="1">
      <alignment/>
      <protection/>
    </xf>
    <xf numFmtId="49" fontId="0" fillId="0" borderId="0" xfId="291" applyNumberFormat="1" applyFont="1" applyBorder="1" applyAlignment="1">
      <alignment horizontal="left"/>
      <protection/>
    </xf>
    <xf numFmtId="49" fontId="24" fillId="0" borderId="26" xfId="291" applyNumberFormat="1" applyFont="1" applyBorder="1" applyAlignment="1">
      <alignment horizontal="center" vertical="center" wrapText="1"/>
      <protection/>
    </xf>
    <xf numFmtId="49" fontId="24" fillId="0" borderId="25" xfId="291" applyNumberFormat="1" applyFont="1" applyBorder="1" applyAlignment="1">
      <alignment horizontal="center" vertical="center" wrapText="1"/>
      <protection/>
    </xf>
    <xf numFmtId="49" fontId="96" fillId="3" borderId="26" xfId="291" applyNumberFormat="1" applyFont="1" applyFill="1" applyBorder="1" applyAlignment="1">
      <alignment horizontal="center" vertical="center" wrapText="1"/>
      <protection/>
    </xf>
    <xf numFmtId="49" fontId="96" fillId="3" borderId="25" xfId="291" applyNumberFormat="1" applyFont="1" applyFill="1" applyBorder="1" applyAlignment="1">
      <alignment horizontal="center" vertical="center" wrapText="1"/>
      <protection/>
    </xf>
    <xf numFmtId="49" fontId="95" fillId="3" borderId="26" xfId="291" applyNumberFormat="1" applyFont="1" applyFill="1" applyBorder="1" applyAlignment="1">
      <alignment horizontal="center" vertical="center" wrapText="1"/>
      <protection/>
    </xf>
    <xf numFmtId="49" fontId="95" fillId="3" borderId="25" xfId="291" applyNumberFormat="1" applyFont="1" applyFill="1" applyBorder="1" applyAlignment="1">
      <alignment horizontal="center" vertical="center" wrapText="1"/>
      <protection/>
    </xf>
    <xf numFmtId="49" fontId="11" fillId="0" borderId="27" xfId="291" applyNumberFormat="1" applyFont="1" applyFill="1" applyBorder="1" applyAlignment="1">
      <alignment horizontal="center" vertical="center" wrapText="1"/>
      <protection/>
    </xf>
    <xf numFmtId="49" fontId="11" fillId="0" borderId="37" xfId="291" applyNumberFormat="1" applyFont="1" applyFill="1" applyBorder="1" applyAlignment="1">
      <alignment horizontal="center" vertical="center" wrapText="1"/>
      <protection/>
    </xf>
    <xf numFmtId="49" fontId="11" fillId="0" borderId="41" xfId="291" applyNumberFormat="1" applyFont="1" applyFill="1" applyBorder="1" applyAlignment="1">
      <alignment horizontal="center" vertical="center" wrapText="1"/>
      <protection/>
    </xf>
    <xf numFmtId="49" fontId="11" fillId="47" borderId="26" xfId="291" applyNumberFormat="1" applyFont="1" applyFill="1" applyBorder="1" applyAlignment="1">
      <alignment horizontal="center" vertical="center"/>
      <protection/>
    </xf>
    <xf numFmtId="49" fontId="11" fillId="47" borderId="25" xfId="291" applyNumberFormat="1" applyFont="1" applyFill="1" applyBorder="1" applyAlignment="1">
      <alignment horizontal="center" vertical="center"/>
      <protection/>
    </xf>
    <xf numFmtId="49" fontId="34" fillId="0" borderId="0" xfId="291" applyNumberFormat="1" applyFont="1" applyAlignment="1">
      <alignment horizontal="center"/>
      <protection/>
    </xf>
    <xf numFmtId="49" fontId="0" fillId="0" borderId="0" xfId="291" applyNumberFormat="1" applyFont="1" applyFill="1" applyAlignment="1">
      <alignment horizontal="left"/>
      <protection/>
    </xf>
    <xf numFmtId="49" fontId="18" fillId="0" borderId="22" xfId="291" applyNumberFormat="1" applyFont="1" applyFill="1" applyBorder="1" applyAlignment="1">
      <alignment horizontal="center" vertical="center"/>
      <protection/>
    </xf>
    <xf numFmtId="49" fontId="23" fillId="0" borderId="0" xfId="291" applyNumberFormat="1" applyFont="1" applyFill="1" applyBorder="1" applyAlignment="1">
      <alignment horizontal="left"/>
      <protection/>
    </xf>
    <xf numFmtId="49" fontId="96" fillId="3" borderId="26" xfId="291" applyNumberFormat="1" applyFont="1" applyFill="1" applyBorder="1" applyAlignment="1">
      <alignment horizontal="center" vertical="center"/>
      <protection/>
    </xf>
    <xf numFmtId="49" fontId="96" fillId="3" borderId="25" xfId="291" applyNumberFormat="1" applyFont="1" applyFill="1" applyBorder="1" applyAlignment="1">
      <alignment horizontal="center" vertical="center"/>
      <protection/>
    </xf>
    <xf numFmtId="0" fontId="88" fillId="0" borderId="41" xfId="291" applyFont="1" applyFill="1" applyBorder="1" applyAlignment="1">
      <alignment horizontal="center" vertical="center" wrapText="1"/>
      <protection/>
    </xf>
    <xf numFmtId="0" fontId="88" fillId="0" borderId="25" xfId="291" applyFont="1" applyFill="1" applyBorder="1" applyAlignment="1">
      <alignment horizontal="center" vertical="center" wrapText="1"/>
      <protection/>
    </xf>
    <xf numFmtId="49" fontId="95" fillId="3" borderId="26" xfId="291" applyNumberFormat="1" applyFont="1" applyFill="1" applyBorder="1" applyAlignment="1">
      <alignment horizontal="center" vertical="center"/>
      <protection/>
    </xf>
    <xf numFmtId="49" fontId="95" fillId="3" borderId="25" xfId="291" applyNumberFormat="1" applyFont="1" applyFill="1" applyBorder="1" applyAlignment="1">
      <alignment horizontal="center" vertical="center"/>
      <protection/>
    </xf>
    <xf numFmtId="49" fontId="24" fillId="0" borderId="26" xfId="291" applyNumberFormat="1" applyFont="1" applyFill="1" applyBorder="1" applyAlignment="1">
      <alignment horizontal="center" vertical="center"/>
      <protection/>
    </xf>
    <xf numFmtId="49" fontId="24" fillId="0" borderId="25" xfId="291" applyNumberFormat="1" applyFont="1" applyFill="1" applyBorder="1" applyAlignment="1">
      <alignment horizontal="center" vertical="center"/>
      <protection/>
    </xf>
    <xf numFmtId="49" fontId="11" fillId="0" borderId="35" xfId="291" applyNumberFormat="1" applyFont="1" applyFill="1" applyBorder="1" applyAlignment="1">
      <alignment horizontal="center" vertical="center" wrapText="1"/>
      <protection/>
    </xf>
    <xf numFmtId="49" fontId="11" fillId="0" borderId="36" xfId="291" applyNumberFormat="1" applyFont="1" applyFill="1" applyBorder="1" applyAlignment="1">
      <alignment horizontal="center" vertical="center" wrapText="1"/>
      <protection/>
    </xf>
    <xf numFmtId="49" fontId="11" fillId="0" borderId="24" xfId="291" applyNumberFormat="1" applyFont="1" applyFill="1" applyBorder="1" applyAlignment="1">
      <alignment horizontal="center" vertical="center" wrapText="1"/>
      <protection/>
    </xf>
    <xf numFmtId="49" fontId="11" fillId="0" borderId="40" xfId="291" applyNumberFormat="1" applyFont="1" applyFill="1" applyBorder="1" applyAlignment="1">
      <alignment horizontal="center" vertical="center" wrapText="1"/>
      <protection/>
    </xf>
    <xf numFmtId="0" fontId="30" fillId="0" borderId="0" xfId="291" applyFont="1" applyAlignment="1">
      <alignment horizontal="center"/>
      <protection/>
    </xf>
    <xf numFmtId="0" fontId="12" fillId="0" borderId="20" xfId="291" applyFont="1" applyFill="1" applyBorder="1" applyAlignment="1">
      <alignment horizontal="center" vertical="center" wrapText="1"/>
      <protection/>
    </xf>
    <xf numFmtId="0" fontId="34" fillId="47" borderId="0" xfId="291" applyFont="1" applyFill="1" applyBorder="1" applyAlignment="1">
      <alignment horizontal="center"/>
      <protection/>
    </xf>
    <xf numFmtId="49" fontId="12" fillId="0" borderId="35" xfId="291" applyNumberFormat="1" applyFont="1" applyFill="1" applyBorder="1" applyAlignment="1">
      <alignment horizontal="center" vertical="center"/>
      <protection/>
    </xf>
    <xf numFmtId="49" fontId="12" fillId="0" borderId="36" xfId="291" applyNumberFormat="1" applyFont="1" applyFill="1" applyBorder="1" applyAlignment="1">
      <alignment horizontal="center" vertical="center"/>
      <protection/>
    </xf>
    <xf numFmtId="49" fontId="12" fillId="0" borderId="24" xfId="291" applyNumberFormat="1" applyFont="1" applyFill="1" applyBorder="1" applyAlignment="1">
      <alignment horizontal="center" vertical="center"/>
      <protection/>
    </xf>
    <xf numFmtId="49" fontId="12" fillId="0" borderId="40" xfId="291" applyNumberFormat="1" applyFont="1" applyFill="1" applyBorder="1" applyAlignment="1">
      <alignment horizontal="center" vertical="center"/>
      <protection/>
    </xf>
    <xf numFmtId="49" fontId="12" fillId="0" borderId="27" xfId="291" applyNumberFormat="1" applyFont="1" applyFill="1" applyBorder="1" applyAlignment="1">
      <alignment horizontal="center" vertical="center"/>
      <protection/>
    </xf>
    <xf numFmtId="49" fontId="12" fillId="0" borderId="37" xfId="291" applyNumberFormat="1" applyFont="1" applyFill="1" applyBorder="1" applyAlignment="1">
      <alignment horizontal="center" vertical="center"/>
      <protection/>
    </xf>
    <xf numFmtId="0" fontId="23" fillId="0" borderId="0" xfId="291" applyFont="1" applyBorder="1" applyAlignment="1">
      <alignment horizontal="left"/>
      <protection/>
    </xf>
    <xf numFmtId="0" fontId="18" fillId="0" borderId="0" xfId="291" applyFont="1" applyAlignment="1">
      <alignment horizontal="center"/>
      <protection/>
    </xf>
    <xf numFmtId="49" fontId="37" fillId="0" borderId="0" xfId="291" applyNumberFormat="1" applyFont="1" applyBorder="1" applyAlignment="1">
      <alignment horizontal="justify" vertical="justify" wrapText="1"/>
      <protection/>
    </xf>
    <xf numFmtId="0" fontId="19" fillId="0" borderId="0" xfId="291" applyNumberFormat="1" applyFont="1" applyAlignment="1">
      <alignment horizontal="center"/>
      <protection/>
    </xf>
    <xf numFmtId="0" fontId="39" fillId="0" borderId="0" xfId="291" applyNumberFormat="1" applyFont="1" applyAlignment="1">
      <alignment horizontal="center"/>
      <protection/>
    </xf>
    <xf numFmtId="0" fontId="28" fillId="0" borderId="0" xfId="291" applyNumberFormat="1"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1"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39" fillId="0" borderId="0" xfId="0" applyNumberFormat="1" applyFont="1" applyFill="1" applyAlignment="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7"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2" fontId="17" fillId="0" borderId="20" xfId="0" applyNumberFormat="1"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8" fillId="0" borderId="21"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20" fillId="0" borderId="0" xfId="0" applyNumberFormat="1" applyFont="1" applyFill="1" applyAlignment="1">
      <alignment horizontal="center" wrapText="1"/>
    </xf>
    <xf numFmtId="0" fontId="0" fillId="0" borderId="0" xfId="0" applyNumberFormat="1" applyFont="1" applyFill="1" applyAlignment="1">
      <alignment horizontal="left"/>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7" fillId="0" borderId="0" xfId="0" applyFont="1" applyFill="1" applyAlignment="1">
      <alignment horizontal="center"/>
    </xf>
    <xf numFmtId="0" fontId="8" fillId="0" borderId="0" xfId="0" applyNumberFormat="1" applyFont="1" applyFill="1" applyBorder="1" applyAlignment="1">
      <alignment horizontal="left"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6" fillId="0" borderId="0" xfId="0" applyFont="1" applyFill="1" applyBorder="1" applyAlignment="1">
      <alignment horizontal="center"/>
    </xf>
    <xf numFmtId="0" fontId="7" fillId="0" borderId="20" xfId="0" applyFont="1" applyFill="1" applyBorder="1" applyAlignment="1">
      <alignment horizontal="center"/>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8" fillId="0" borderId="0" xfId="0" applyNumberFormat="1" applyFont="1" applyFill="1" applyAlignment="1">
      <alignment horizontal="left"/>
    </xf>
    <xf numFmtId="0" fontId="107"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4" fillId="0" borderId="0" xfId="0" applyNumberFormat="1" applyFont="1" applyFill="1" applyAlignment="1">
      <alignment horizontal="center"/>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39" fillId="0" borderId="0" xfId="0" applyNumberFormat="1" applyFont="1" applyFill="1" applyAlignment="1">
      <alignment horizontal="center" wrapText="1"/>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1" fontId="10" fillId="0" borderId="20" xfId="0" applyNumberFormat="1" applyFont="1" applyFill="1" applyBorder="1" applyAlignment="1">
      <alignment horizontal="center" vertical="center"/>
    </xf>
    <xf numFmtId="49" fontId="10" fillId="0" borderId="20" xfId="0" applyNumberFormat="1" applyFont="1" applyFill="1" applyBorder="1" applyAlignment="1" applyProtection="1">
      <alignment horizontal="center" vertical="center" wrapText="1"/>
      <protection/>
    </xf>
    <xf numFmtId="49" fontId="35" fillId="0" borderId="20" xfId="0" applyNumberFormat="1" applyFont="1" applyFill="1" applyBorder="1" applyAlignment="1">
      <alignment horizontal="center" vertical="center" wrapText="1"/>
    </xf>
    <xf numFmtId="49" fontId="10" fillId="0" borderId="0" xfId="0" applyNumberFormat="1" applyFont="1" applyFill="1" applyBorder="1" applyAlignment="1">
      <alignment horizontal="left" wrapText="1"/>
    </xf>
    <xf numFmtId="49" fontId="35" fillId="0" borderId="20" xfId="0" applyNumberFormat="1" applyFont="1" applyFill="1" applyBorder="1" applyAlignment="1" applyProtection="1">
      <alignment horizontal="center" vertical="center" wrapText="1"/>
      <protection/>
    </xf>
    <xf numFmtId="0" fontId="8" fillId="0" borderId="35"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49" fontId="10" fillId="0" borderId="0" xfId="0" applyNumberFormat="1" applyFont="1" applyFill="1" applyAlignment="1">
      <alignment horizontal="center"/>
    </xf>
    <xf numFmtId="49" fontId="10" fillId="0" borderId="0" xfId="0" applyNumberFormat="1" applyFont="1" applyFill="1" applyAlignment="1">
      <alignment horizontal="center" wrapText="1"/>
    </xf>
    <xf numFmtId="0" fontId="24" fillId="0" borderId="0" xfId="0" applyNumberFormat="1" applyFont="1" applyFill="1" applyAlignment="1">
      <alignment horizontal="center"/>
    </xf>
    <xf numFmtId="49" fontId="10" fillId="0" borderId="20" xfId="0" applyNumberFormat="1" applyFont="1" applyFill="1" applyBorder="1" applyAlignment="1">
      <alignment horizontal="center" vertical="center" wrapText="1"/>
    </xf>
    <xf numFmtId="0" fontId="10" fillId="0" borderId="0" xfId="0" applyNumberFormat="1" applyFont="1" applyFill="1" applyBorder="1" applyAlignment="1">
      <alignment horizontal="left" wrapText="1"/>
    </xf>
    <xf numFmtId="49" fontId="0" fillId="51" borderId="26" xfId="0" applyNumberFormat="1" applyFont="1" applyFill="1" applyBorder="1" applyAlignment="1" applyProtection="1">
      <alignment horizontal="center" vertical="center" wrapText="1"/>
      <protection/>
    </xf>
    <xf numFmtId="49" fontId="0" fillId="51" borderId="25" xfId="0" applyNumberFormat="1" applyFont="1" applyFill="1" applyBorder="1" applyAlignment="1" applyProtection="1">
      <alignment horizontal="center" vertical="center" wrapText="1"/>
      <protection/>
    </xf>
    <xf numFmtId="0" fontId="30" fillId="47" borderId="0" xfId="294" applyNumberFormat="1" applyFont="1" applyFill="1" applyAlignment="1">
      <alignment horizontal="center"/>
      <protection/>
    </xf>
    <xf numFmtId="210" fontId="30" fillId="47" borderId="0" xfId="294" applyNumberFormat="1" applyFont="1" applyFill="1" applyAlignment="1">
      <alignment horizontal="center"/>
      <protection/>
    </xf>
    <xf numFmtId="49" fontId="0" fillId="47" borderId="0" xfId="294" applyNumberFormat="1" applyFill="1" applyAlignment="1">
      <alignment horizontal="center" wrapText="1"/>
      <protection/>
    </xf>
    <xf numFmtId="49" fontId="0" fillId="47" borderId="0" xfId="294" applyNumberFormat="1" applyFill="1" applyAlignment="1">
      <alignment horizontal="center"/>
      <protection/>
    </xf>
    <xf numFmtId="0" fontId="30" fillId="47" borderId="19" xfId="294" applyNumberFormat="1" applyFont="1" applyFill="1" applyBorder="1" applyAlignment="1">
      <alignment horizontal="center" wrapText="1"/>
      <protection/>
    </xf>
    <xf numFmtId="0" fontId="34" fillId="47" borderId="19" xfId="294" applyNumberFormat="1" applyFont="1" applyFill="1" applyBorder="1" applyAlignment="1">
      <alignment horizontal="center" vertical="center" wrapText="1"/>
      <protection/>
    </xf>
    <xf numFmtId="0" fontId="34" fillId="47" borderId="19" xfId="294" applyNumberFormat="1" applyFont="1" applyFill="1" applyBorder="1" applyAlignment="1">
      <alignment horizontal="center" vertical="center"/>
      <protection/>
    </xf>
    <xf numFmtId="49" fontId="18" fillId="0" borderId="44" xfId="0" applyNumberFormat="1" applyFont="1" applyFill="1" applyBorder="1" applyAlignment="1" applyProtection="1">
      <alignment horizontal="center" vertical="center" wrapText="1"/>
      <protection/>
    </xf>
    <xf numFmtId="49" fontId="18" fillId="0" borderId="25" xfId="0" applyNumberFormat="1" applyFont="1" applyFill="1" applyBorder="1" applyAlignment="1" applyProtection="1">
      <alignment horizontal="center" vertical="center" wrapText="1"/>
      <protection/>
    </xf>
    <xf numFmtId="0" fontId="13" fillId="0" borderId="45" xfId="0" applyNumberFormat="1" applyFont="1" applyFill="1" applyBorder="1" applyAlignment="1">
      <alignment horizontal="center" vertical="center" wrapText="1"/>
    </xf>
    <xf numFmtId="0" fontId="13" fillId="0" borderId="46" xfId="0" applyNumberFormat="1" applyFont="1" applyFill="1" applyBorder="1" applyAlignment="1">
      <alignment horizontal="center" vertical="center" wrapText="1"/>
    </xf>
    <xf numFmtId="0" fontId="13" fillId="0" borderId="47" xfId="0" applyNumberFormat="1" applyFont="1" applyFill="1" applyBorder="1" applyAlignment="1">
      <alignment horizontal="center" vertical="center" wrapText="1"/>
    </xf>
    <xf numFmtId="0" fontId="13" fillId="0" borderId="20" xfId="0" applyNumberFormat="1" applyFont="1" applyFill="1" applyBorder="1" applyAlignment="1">
      <alignment horizontal="center" vertical="center" wrapText="1"/>
    </xf>
    <xf numFmtId="210" fontId="119" fillId="0" borderId="46" xfId="0" applyNumberFormat="1" applyFont="1" applyFill="1" applyBorder="1" applyAlignment="1" applyProtection="1">
      <alignment horizontal="center" vertical="center" wrapText="1"/>
      <protection/>
    </xf>
    <xf numFmtId="210" fontId="119" fillId="0" borderId="20" xfId="0" applyNumberFormat="1" applyFont="1" applyFill="1" applyBorder="1" applyAlignment="1" applyProtection="1">
      <alignment horizontal="center" vertical="center" wrapText="1"/>
      <protection/>
    </xf>
    <xf numFmtId="210" fontId="13" fillId="0" borderId="46" xfId="0" applyNumberFormat="1" applyFont="1" applyFill="1" applyBorder="1" applyAlignment="1" applyProtection="1">
      <alignment horizontal="center" vertical="center" wrapText="1"/>
      <protection/>
    </xf>
    <xf numFmtId="210" fontId="13" fillId="0" borderId="46" xfId="0" applyNumberFormat="1" applyFont="1" applyFill="1" applyBorder="1" applyAlignment="1">
      <alignment horizontal="center" vertical="center"/>
    </xf>
    <xf numFmtId="49" fontId="36" fillId="0" borderId="47" xfId="0" applyNumberFormat="1" applyFont="1" applyFill="1" applyBorder="1" applyAlignment="1" applyProtection="1">
      <alignment horizontal="center" vertical="center" wrapText="1"/>
      <protection/>
    </xf>
    <xf numFmtId="49" fontId="36" fillId="0" borderId="20" xfId="0" applyNumberFormat="1" applyFont="1" applyFill="1" applyBorder="1" applyAlignment="1" applyProtection="1">
      <alignment horizontal="center" vertical="center" wrapText="1"/>
      <protection/>
    </xf>
    <xf numFmtId="210" fontId="13" fillId="0" borderId="20" xfId="0" applyNumberFormat="1" applyFont="1" applyFill="1" applyBorder="1" applyAlignment="1" applyProtection="1">
      <alignment horizontal="center" vertical="center" wrapText="1"/>
      <protection/>
    </xf>
    <xf numFmtId="49" fontId="34" fillId="47" borderId="0" xfId="294" applyNumberFormat="1" applyFont="1" applyFill="1" applyAlignment="1">
      <alignment horizontal="left"/>
      <protection/>
    </xf>
    <xf numFmtId="49" fontId="34" fillId="47" borderId="0" xfId="294" applyNumberFormat="1" applyFont="1" applyFill="1" applyBorder="1" applyAlignment="1">
      <alignment horizontal="left"/>
      <protection/>
    </xf>
    <xf numFmtId="49" fontId="29" fillId="51" borderId="26" xfId="0" applyNumberFormat="1" applyFont="1" applyFill="1" applyBorder="1" applyAlignment="1" applyProtection="1">
      <alignment horizontal="center" vertical="center" wrapText="1"/>
      <protection/>
    </xf>
    <xf numFmtId="49" fontId="29" fillId="51" borderId="25" xfId="0" applyNumberFormat="1" applyFont="1" applyFill="1" applyBorder="1" applyAlignment="1" applyProtection="1">
      <alignment horizontal="center" vertical="center" wrapText="1"/>
      <protection/>
    </xf>
    <xf numFmtId="0" fontId="30" fillId="47" borderId="0" xfId="294" applyNumberFormat="1" applyFont="1" applyFill="1" applyBorder="1" applyAlignment="1">
      <alignment horizontal="center" vertical="center"/>
      <protection/>
    </xf>
    <xf numFmtId="0" fontId="30" fillId="47" borderId="0" xfId="294" applyNumberFormat="1" applyFont="1" applyFill="1" applyBorder="1" applyAlignment="1">
      <alignment horizontal="center" wrapText="1"/>
      <protection/>
    </xf>
    <xf numFmtId="0" fontId="34" fillId="47" borderId="0" xfId="294" applyNumberFormat="1" applyFont="1" applyFill="1" applyBorder="1" applyAlignment="1">
      <alignment horizontal="center" vertical="center"/>
      <protection/>
    </xf>
    <xf numFmtId="0" fontId="37" fillId="47" borderId="0" xfId="294" applyNumberFormat="1" applyFont="1" applyFill="1" applyBorder="1" applyAlignment="1">
      <alignment horizontal="left" wrapText="1"/>
      <protection/>
    </xf>
    <xf numFmtId="210" fontId="119" fillId="0" borderId="20" xfId="0" applyNumberFormat="1" applyFont="1" applyFill="1" applyBorder="1" applyAlignment="1">
      <alignment horizontal="center" vertical="center" wrapText="1"/>
    </xf>
    <xf numFmtId="210" fontId="13" fillId="0" borderId="46" xfId="0" applyNumberFormat="1" applyFont="1" applyFill="1" applyBorder="1" applyAlignment="1">
      <alignment horizontal="center" vertical="center" wrapText="1"/>
    </xf>
    <xf numFmtId="210" fontId="13" fillId="0" borderId="20" xfId="0" applyNumberFormat="1" applyFont="1" applyFill="1" applyBorder="1" applyAlignment="1">
      <alignment horizontal="center" vertical="center" wrapText="1"/>
    </xf>
    <xf numFmtId="49" fontId="13" fillId="0" borderId="0" xfId="0" applyNumberFormat="1" applyFont="1" applyFill="1" applyBorder="1" applyAlignment="1">
      <alignment horizontal="left" wrapText="1"/>
    </xf>
    <xf numFmtId="49" fontId="13" fillId="0" borderId="48" xfId="0" applyNumberFormat="1" applyFont="1" applyFill="1" applyBorder="1" applyAlignment="1" applyProtection="1">
      <alignment horizontal="center" vertical="center" wrapText="1"/>
      <protection/>
    </xf>
    <xf numFmtId="49" fontId="13" fillId="0" borderId="39" xfId="0" applyNumberFormat="1" applyFont="1" applyFill="1" applyBorder="1" applyAlignment="1" applyProtection="1">
      <alignment horizontal="center" vertical="center" wrapText="1"/>
      <protection/>
    </xf>
    <xf numFmtId="49" fontId="36" fillId="0" borderId="49" xfId="0" applyNumberFormat="1" applyFont="1" applyFill="1" applyBorder="1" applyAlignment="1">
      <alignment horizontal="left"/>
    </xf>
    <xf numFmtId="49" fontId="13" fillId="0" borderId="0" xfId="0" applyNumberFormat="1" applyFont="1" applyFill="1" applyAlignment="1">
      <alignment horizontal="left"/>
    </xf>
    <xf numFmtId="210" fontId="13" fillId="0" borderId="0" xfId="0" applyNumberFormat="1" applyFont="1" applyFill="1" applyAlignment="1">
      <alignment horizontal="center"/>
    </xf>
    <xf numFmtId="210" fontId="13" fillId="0" borderId="0" xfId="0" applyNumberFormat="1" applyFont="1" applyFill="1" applyAlignment="1">
      <alignment horizontal="center" wrapText="1"/>
    </xf>
    <xf numFmtId="210" fontId="36" fillId="0" borderId="0" xfId="0" applyNumberFormat="1" applyFont="1" applyFill="1" applyAlignment="1">
      <alignment horizontal="center"/>
    </xf>
    <xf numFmtId="0" fontId="13" fillId="0" borderId="0" xfId="0" applyNumberFormat="1" applyFont="1" applyFill="1" applyBorder="1" applyAlignment="1">
      <alignment horizontal="left" wrapText="1"/>
    </xf>
    <xf numFmtId="49" fontId="18" fillId="0" borderId="0" xfId="292" applyNumberFormat="1" applyFont="1" applyFill="1" applyBorder="1" applyAlignment="1">
      <alignment horizontal="left" wrapText="1"/>
      <protection/>
    </xf>
    <xf numFmtId="0" fontId="34" fillId="0" borderId="0" xfId="292" applyNumberFormat="1" applyFont="1" applyFill="1" applyAlignment="1">
      <alignment horizontal="center"/>
      <protection/>
    </xf>
    <xf numFmtId="0" fontId="30" fillId="0" borderId="0" xfId="292" applyNumberFormat="1" applyFont="1" applyFill="1" applyBorder="1" applyAlignment="1">
      <alignment horizontal="center"/>
      <protection/>
    </xf>
    <xf numFmtId="0" fontId="85" fillId="0" borderId="0" xfId="292" applyNumberFormat="1" applyFont="1" applyFill="1" applyAlignment="1">
      <alignment horizontal="center"/>
      <protection/>
    </xf>
    <xf numFmtId="0" fontId="86" fillId="0" borderId="0" xfId="292" applyNumberFormat="1" applyFont="1" applyFill="1" applyAlignment="1">
      <alignment horizontal="center"/>
      <protection/>
    </xf>
    <xf numFmtId="0" fontId="19" fillId="0" borderId="0" xfId="289" applyNumberFormat="1" applyFont="1" applyFill="1" applyAlignment="1">
      <alignment horizontal="center"/>
      <protection/>
    </xf>
    <xf numFmtId="49" fontId="17" fillId="0" borderId="0" xfId="292" applyNumberFormat="1" applyFont="1" applyFill="1" applyBorder="1" applyAlignment="1">
      <alignment horizontal="center" wrapText="1"/>
      <protection/>
    </xf>
    <xf numFmtId="0" fontId="30" fillId="0" borderId="0" xfId="292" applyNumberFormat="1" applyFont="1" applyFill="1" applyBorder="1" applyAlignment="1">
      <alignment horizontal="center" wrapText="1"/>
      <protection/>
    </xf>
    <xf numFmtId="49" fontId="17" fillId="0" borderId="26" xfId="0" applyNumberFormat="1" applyFont="1" applyBorder="1" applyAlignment="1">
      <alignment horizontal="center" wrapText="1"/>
    </xf>
    <xf numFmtId="49" fontId="17" fillId="0" borderId="25" xfId="0" applyNumberFormat="1" applyFont="1" applyBorder="1" applyAlignment="1">
      <alignment horizontal="center" wrapText="1"/>
    </xf>
    <xf numFmtId="49" fontId="29" fillId="0" borderId="20" xfId="292" applyNumberFormat="1" applyFont="1" applyFill="1" applyBorder="1" applyAlignment="1">
      <alignment horizontal="center" vertical="center" wrapText="1" readingOrder="1"/>
      <protection/>
    </xf>
    <xf numFmtId="0" fontId="29" fillId="0" borderId="20" xfId="292" applyFont="1" applyFill="1" applyBorder="1" applyAlignment="1">
      <alignment horizontal="center" vertical="center" wrapText="1" readingOrder="1"/>
      <protection/>
    </xf>
    <xf numFmtId="0" fontId="37" fillId="0" borderId="0" xfId="292" applyNumberFormat="1" applyFont="1" applyFill="1" applyBorder="1" applyAlignment="1">
      <alignment horizontal="center" wrapText="1"/>
      <protection/>
    </xf>
    <xf numFmtId="0" fontId="37" fillId="0" borderId="19" xfId="292" applyNumberFormat="1" applyFont="1" applyFill="1" applyBorder="1" applyAlignment="1">
      <alignment horizontal="center"/>
      <protection/>
    </xf>
    <xf numFmtId="49" fontId="0" fillId="0" borderId="0" xfId="0" applyNumberFormat="1" applyFont="1" applyFill="1" applyAlignment="1">
      <alignment horizontal="left"/>
    </xf>
    <xf numFmtId="49" fontId="0" fillId="0" borderId="0" xfId="0" applyNumberFormat="1" applyFont="1" applyFill="1" applyAlignment="1">
      <alignment horizontal="left"/>
    </xf>
    <xf numFmtId="49" fontId="19" fillId="0" borderId="0" xfId="292" applyNumberFormat="1" applyFont="1" applyFill="1" applyAlignment="1">
      <alignment horizontal="center" wrapText="1"/>
      <protection/>
    </xf>
    <xf numFmtId="0" fontId="39" fillId="0" borderId="0" xfId="292" applyNumberFormat="1" applyFont="1" applyFill="1" applyAlignment="1">
      <alignment horizontal="center"/>
      <protection/>
    </xf>
    <xf numFmtId="0" fontId="28" fillId="0" borderId="0" xfId="292" applyNumberFormat="1" applyFont="1" applyFill="1" applyAlignment="1">
      <alignment horizontal="center"/>
      <protection/>
    </xf>
    <xf numFmtId="49" fontId="29" fillId="0" borderId="35" xfId="292" applyNumberFormat="1" applyFont="1" applyFill="1" applyBorder="1" applyAlignment="1">
      <alignment horizontal="center" vertical="center" wrapText="1" readingOrder="1"/>
      <protection/>
    </xf>
    <xf numFmtId="49" fontId="29" fillId="0" borderId="36" xfId="292" applyNumberFormat="1" applyFont="1" applyFill="1" applyBorder="1" applyAlignment="1">
      <alignment horizontal="center" vertical="center" wrapText="1" readingOrder="1"/>
      <protection/>
    </xf>
    <xf numFmtId="49" fontId="29" fillId="0" borderId="24" xfId="292" applyNumberFormat="1" applyFont="1" applyFill="1" applyBorder="1" applyAlignment="1">
      <alignment horizontal="center" vertical="center" wrapText="1" readingOrder="1"/>
      <protection/>
    </xf>
    <xf numFmtId="49" fontId="29" fillId="0" borderId="40" xfId="292" applyNumberFormat="1" applyFont="1" applyFill="1" applyBorder="1" applyAlignment="1">
      <alignment horizontal="center" vertical="center" wrapText="1" readingOrder="1"/>
      <protection/>
    </xf>
    <xf numFmtId="0" fontId="30" fillId="0" borderId="0" xfId="292" applyFont="1" applyFill="1" applyBorder="1" applyAlignment="1">
      <alignment horizontal="center" wrapText="1"/>
      <protection/>
    </xf>
    <xf numFmtId="0" fontId="31" fillId="0" borderId="20" xfId="292" applyFont="1" applyFill="1" applyBorder="1" applyAlignment="1">
      <alignment horizontal="center" vertical="center" wrapText="1"/>
      <protection/>
    </xf>
    <xf numFmtId="0" fontId="88" fillId="0" borderId="20" xfId="292" applyFont="1" applyFill="1" applyBorder="1" applyAlignment="1">
      <alignment horizontal="center" vertical="center"/>
      <protection/>
    </xf>
    <xf numFmtId="0" fontId="37" fillId="0" borderId="0" xfId="292" applyFont="1" applyFill="1" applyBorder="1" applyAlignment="1">
      <alignment horizontal="center" wrapText="1"/>
      <protection/>
    </xf>
    <xf numFmtId="49" fontId="24" fillId="0" borderId="0" xfId="292" applyNumberFormat="1" applyFont="1" applyFill="1" applyBorder="1" applyAlignment="1">
      <alignment horizontal="left" wrapText="1"/>
      <protection/>
    </xf>
    <xf numFmtId="49" fontId="34" fillId="0" borderId="0" xfId="292" applyNumberFormat="1" applyFont="1" applyFill="1" applyAlignment="1">
      <alignment horizontal="center"/>
      <protection/>
    </xf>
    <xf numFmtId="0" fontId="30" fillId="0" borderId="0" xfId="292" applyFont="1" applyFill="1" applyBorder="1" applyAlignment="1">
      <alignment horizontal="center"/>
      <protection/>
    </xf>
    <xf numFmtId="0" fontId="85" fillId="0" borderId="0" xfId="292" applyFont="1" applyFill="1" applyAlignment="1">
      <alignment horizontal="center"/>
      <protection/>
    </xf>
    <xf numFmtId="0" fontId="17" fillId="0" borderId="0" xfId="292" applyFont="1" applyFill="1" applyBorder="1" applyAlignment="1">
      <alignment horizontal="center" wrapText="1"/>
      <protection/>
    </xf>
    <xf numFmtId="0" fontId="30" fillId="0" borderId="0" xfId="289" applyNumberFormat="1" applyFont="1" applyFill="1" applyAlignment="1">
      <alignment horizontal="center"/>
      <protection/>
    </xf>
    <xf numFmtId="0" fontId="30" fillId="0" borderId="0" xfId="289" applyFont="1" applyFill="1" applyAlignment="1">
      <alignment horizontal="center"/>
      <protection/>
    </xf>
    <xf numFmtId="0" fontId="31" fillId="0" borderId="20" xfId="292" applyFont="1" applyFill="1" applyBorder="1" applyAlignment="1">
      <alignment horizontal="center" vertical="center"/>
      <protection/>
    </xf>
    <xf numFmtId="0" fontId="19" fillId="0" borderId="0" xfId="292" applyNumberFormat="1" applyFont="1" applyFill="1" applyAlignment="1">
      <alignment horizontal="center" wrapText="1"/>
      <protection/>
    </xf>
    <xf numFmtId="0" fontId="110" fillId="0" borderId="20" xfId="292" applyFont="1" applyFill="1" applyBorder="1" applyAlignment="1">
      <alignment horizontal="center" vertical="center"/>
      <protection/>
    </xf>
    <xf numFmtId="0" fontId="7" fillId="0" borderId="0" xfId="292" applyFont="1" applyFill="1" applyBorder="1" applyAlignment="1">
      <alignment horizontal="left"/>
      <protection/>
    </xf>
    <xf numFmtId="0" fontId="39" fillId="0" borderId="0" xfId="292" applyFont="1" applyFill="1" applyAlignment="1">
      <alignment horizontal="center"/>
      <protection/>
    </xf>
    <xf numFmtId="0" fontId="28" fillId="0" borderId="0" xfId="292" applyFont="1" applyFill="1" applyAlignment="1">
      <alignment horizontal="center"/>
      <protection/>
    </xf>
    <xf numFmtId="49" fontId="11" fillId="0" borderId="35" xfId="292" applyNumberFormat="1" applyFont="1" applyFill="1" applyBorder="1" applyAlignment="1">
      <alignment horizontal="center" vertical="center"/>
      <protection/>
    </xf>
    <xf numFmtId="49" fontId="11" fillId="0" borderId="36" xfId="292" applyNumberFormat="1" applyFont="1" applyFill="1" applyBorder="1" applyAlignment="1">
      <alignment horizontal="center" vertical="center"/>
      <protection/>
    </xf>
    <xf numFmtId="49" fontId="11" fillId="0" borderId="24" xfId="292" applyNumberFormat="1" applyFont="1" applyFill="1" applyBorder="1" applyAlignment="1">
      <alignment horizontal="center" vertical="center"/>
      <protection/>
    </xf>
    <xf numFmtId="49" fontId="11" fillId="0" borderId="40" xfId="292" applyNumberFormat="1" applyFont="1" applyFill="1" applyBorder="1" applyAlignment="1">
      <alignment horizontal="center" vertical="center"/>
      <protection/>
    </xf>
    <xf numFmtId="3" fontId="0" fillId="0" borderId="0" xfId="292" applyNumberFormat="1" applyFont="1" applyFill="1" applyBorder="1" applyAlignment="1">
      <alignment horizontal="left"/>
      <protection/>
    </xf>
    <xf numFmtId="3" fontId="7" fillId="0" borderId="0" xfId="292" applyNumberFormat="1" applyFont="1" applyFill="1" applyBorder="1" applyAlignment="1">
      <alignment horizontal="left"/>
      <protection/>
    </xf>
    <xf numFmtId="0" fontId="82" fillId="0" borderId="26" xfId="0" applyFont="1" applyBorder="1" applyAlignment="1">
      <alignment horizontal="center" wrapText="1"/>
    </xf>
    <xf numFmtId="0" fontId="82" fillId="0" borderId="25" xfId="0" applyFont="1" applyBorder="1" applyAlignment="1">
      <alignment horizontal="center" wrapText="1"/>
    </xf>
    <xf numFmtId="0" fontId="34" fillId="0" borderId="0" xfId="292" applyNumberFormat="1" applyFont="1" applyFill="1" applyBorder="1" applyAlignment="1">
      <alignment horizontal="center"/>
      <protection/>
    </xf>
    <xf numFmtId="0" fontId="21" fillId="0" borderId="47" xfId="292" applyNumberFormat="1" applyFont="1" applyFill="1" applyBorder="1" applyAlignment="1">
      <alignment horizontal="center" wrapText="1"/>
      <protection/>
    </xf>
    <xf numFmtId="0" fontId="21" fillId="0" borderId="20" xfId="292" applyNumberFormat="1" applyFont="1" applyFill="1" applyBorder="1" applyAlignment="1">
      <alignment horizontal="center" wrapText="1"/>
      <protection/>
    </xf>
    <xf numFmtId="0" fontId="12" fillId="0" borderId="26" xfId="0" applyNumberFormat="1" applyFont="1" applyBorder="1" applyAlignment="1">
      <alignment horizontal="center" wrapText="1"/>
    </xf>
    <xf numFmtId="0" fontId="12" fillId="0" borderId="25" xfId="0" applyNumberFormat="1" applyFont="1" applyBorder="1" applyAlignment="1">
      <alignment horizontal="center" wrapText="1"/>
    </xf>
    <xf numFmtId="0" fontId="37" fillId="0" borderId="0" xfId="292" applyNumberFormat="1" applyFont="1" applyFill="1" applyBorder="1" applyAlignment="1">
      <alignment horizontal="center"/>
      <protection/>
    </xf>
    <xf numFmtId="0" fontId="12" fillId="0" borderId="20" xfId="292" applyNumberFormat="1" applyFont="1" applyFill="1" applyBorder="1" applyAlignment="1">
      <alignment horizontal="center" vertical="center" wrapText="1"/>
      <protection/>
    </xf>
    <xf numFmtId="0" fontId="33" fillId="0" borderId="20" xfId="292" applyFont="1" applyFill="1" applyBorder="1" applyAlignment="1">
      <alignment horizontal="center" vertical="center"/>
      <protection/>
    </xf>
    <xf numFmtId="0" fontId="8" fillId="0" borderId="0" xfId="292" applyNumberFormat="1" applyFont="1" applyFill="1" applyAlignment="1">
      <alignment horizontal="left"/>
      <protection/>
    </xf>
    <xf numFmtId="0" fontId="18" fillId="0" borderId="0" xfId="292" applyNumberFormat="1" applyFont="1" applyFill="1" applyBorder="1" applyAlignment="1">
      <alignment horizontal="left" wrapText="1"/>
      <protection/>
    </xf>
    <xf numFmtId="49" fontId="12" fillId="0" borderId="45" xfId="292" applyNumberFormat="1" applyFont="1" applyFill="1" applyBorder="1" applyAlignment="1">
      <alignment horizontal="center" vertical="center"/>
      <protection/>
    </xf>
    <xf numFmtId="49" fontId="12" fillId="0" borderId="46" xfId="292" applyNumberFormat="1" applyFont="1" applyFill="1" applyBorder="1" applyAlignment="1">
      <alignment horizontal="center" vertical="center"/>
      <protection/>
    </xf>
    <xf numFmtId="49" fontId="12" fillId="0" borderId="47" xfId="292" applyNumberFormat="1" applyFont="1" applyFill="1" applyBorder="1" applyAlignment="1">
      <alignment horizontal="center" vertical="center"/>
      <protection/>
    </xf>
    <xf numFmtId="49" fontId="12" fillId="0" borderId="20" xfId="292" applyNumberFormat="1" applyFont="1" applyFill="1" applyBorder="1" applyAlignment="1">
      <alignment horizontal="center" vertical="center"/>
      <protection/>
    </xf>
    <xf numFmtId="0" fontId="12" fillId="0" borderId="46" xfId="292" applyNumberFormat="1" applyFont="1" applyFill="1" applyBorder="1" applyAlignment="1">
      <alignment horizontal="center" vertical="center" wrapText="1"/>
      <protection/>
    </xf>
    <xf numFmtId="0" fontId="12" fillId="0" borderId="48" xfId="292" applyNumberFormat="1" applyFont="1" applyFill="1" applyBorder="1" applyAlignment="1">
      <alignment horizontal="center" vertical="center" wrapText="1"/>
      <protection/>
    </xf>
    <xf numFmtId="0" fontId="12" fillId="0" borderId="39" xfId="292" applyNumberFormat="1" applyFont="1" applyFill="1" applyBorder="1" applyAlignment="1">
      <alignment horizontal="center" vertical="center"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292" applyNumberFormat="1" applyFont="1" applyFill="1" applyAlignment="1">
      <alignment horizontal="left"/>
      <protection/>
    </xf>
    <xf numFmtId="0" fontId="7" fillId="0" borderId="0" xfId="292" applyNumberFormat="1" applyFont="1" applyFill="1" applyAlignment="1">
      <alignment horizontal="left"/>
      <protection/>
    </xf>
    <xf numFmtId="0" fontId="39" fillId="0" borderId="0" xfId="292" applyNumberFormat="1" applyFont="1" applyFill="1" applyAlignment="1">
      <alignment horizontal="center"/>
      <protection/>
    </xf>
    <xf numFmtId="0" fontId="26" fillId="0" borderId="0" xfId="292" applyNumberFormat="1" applyFont="1" applyFill="1" applyAlignment="1">
      <alignment horizontal="center"/>
      <protection/>
    </xf>
    <xf numFmtId="0" fontId="0" fillId="0" borderId="0" xfId="292" applyNumberFormat="1" applyFont="1" applyFill="1" applyAlignment="1">
      <alignment horizontal="left"/>
      <protection/>
    </xf>
    <xf numFmtId="0" fontId="19" fillId="0" borderId="0" xfId="292" applyNumberFormat="1" applyFont="1" applyFill="1" applyAlignment="1">
      <alignment horizontal="center" vertical="center"/>
      <protection/>
    </xf>
    <xf numFmtId="0" fontId="23" fillId="0" borderId="0" xfId="292" applyNumberFormat="1" applyFont="1" applyFill="1" applyAlignment="1">
      <alignment horizontal="center" wrapText="1"/>
      <protection/>
    </xf>
  </cellXfs>
  <cellStyles count="30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3" xfId="97"/>
    <cellStyle name="Currency" xfId="98"/>
    <cellStyle name="Currency [0]" xfId="99"/>
    <cellStyle name="Check Cell" xfId="100"/>
    <cellStyle name="Check Cell 2" xfId="101"/>
    <cellStyle name="Check Cell 3"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0 10" xfId="133"/>
    <cellStyle name="Normal 10 2" xfId="134"/>
    <cellStyle name="Normal 10 3" xfId="135"/>
    <cellStyle name="Normal 10 4" xfId="136"/>
    <cellStyle name="Normal 10 5" xfId="137"/>
    <cellStyle name="Normal 10 6" xfId="138"/>
    <cellStyle name="Normal 10 7" xfId="139"/>
    <cellStyle name="Normal 10 8" xfId="140"/>
    <cellStyle name="Normal 10 9" xfId="141"/>
    <cellStyle name="Normal 11" xfId="142"/>
    <cellStyle name="Normal 11 2" xfId="143"/>
    <cellStyle name="Normal 11 3" xfId="144"/>
    <cellStyle name="Normal 11 4" xfId="145"/>
    <cellStyle name="Normal 12" xfId="146"/>
    <cellStyle name="Normal 12 2" xfId="147"/>
    <cellStyle name="Normal 13" xfId="148"/>
    <cellStyle name="Normal 13 2" xfId="149"/>
    <cellStyle name="Normal 13 3" xfId="150"/>
    <cellStyle name="Normal 13 4" xfId="151"/>
    <cellStyle name="Normal 13 5" xfId="152"/>
    <cellStyle name="Normal 14" xfId="153"/>
    <cellStyle name="Normal 14 2" xfId="154"/>
    <cellStyle name="Normal 14 3" xfId="155"/>
    <cellStyle name="Normal 15" xfId="156"/>
    <cellStyle name="Normal 16" xfId="157"/>
    <cellStyle name="Normal 17" xfId="158"/>
    <cellStyle name="Normal 18" xfId="159"/>
    <cellStyle name="Normal 19" xfId="160"/>
    <cellStyle name="Normal 2" xfId="161"/>
    <cellStyle name="Normal 2 2" xfId="162"/>
    <cellStyle name="Normal 2 2 2" xfId="163"/>
    <cellStyle name="Normal 2 2 2 2" xfId="164"/>
    <cellStyle name="Normal 2 3" xfId="165"/>
    <cellStyle name="Normal 2_01" xfId="166"/>
    <cellStyle name="Normal 20" xfId="167"/>
    <cellStyle name="Normal 21" xfId="168"/>
    <cellStyle name="Normal 22" xfId="169"/>
    <cellStyle name="Normal 23" xfId="170"/>
    <cellStyle name="Normal 24" xfId="171"/>
    <cellStyle name="Normal 25" xfId="172"/>
    <cellStyle name="Normal 26" xfId="173"/>
    <cellStyle name="Normal 27" xfId="174"/>
    <cellStyle name="Normal 28" xfId="175"/>
    <cellStyle name="Normal 29" xfId="176"/>
    <cellStyle name="Normal 3" xfId="177"/>
    <cellStyle name="Normal 3 2" xfId="178"/>
    <cellStyle name="Normal 3_01" xfId="179"/>
    <cellStyle name="Normal 30" xfId="180"/>
    <cellStyle name="Normal 31" xfId="181"/>
    <cellStyle name="Normal 32" xfId="182"/>
    <cellStyle name="Normal 33" xfId="183"/>
    <cellStyle name="Normal 34" xfId="184"/>
    <cellStyle name="Normal 35" xfId="185"/>
    <cellStyle name="Normal 36" xfId="186"/>
    <cellStyle name="Normal 37" xfId="187"/>
    <cellStyle name="Normal 38" xfId="188"/>
    <cellStyle name="Normal 39" xfId="189"/>
    <cellStyle name="Normal 4" xfId="190"/>
    <cellStyle name="Normal 4 2" xfId="191"/>
    <cellStyle name="Normal 4_01" xfId="192"/>
    <cellStyle name="Normal 40" xfId="193"/>
    <cellStyle name="Normal 41" xfId="194"/>
    <cellStyle name="Normal 42" xfId="195"/>
    <cellStyle name="Normal 43" xfId="196"/>
    <cellStyle name="Normal 44" xfId="197"/>
    <cellStyle name="Normal 45" xfId="198"/>
    <cellStyle name="Normal 46" xfId="199"/>
    <cellStyle name="Normal 47" xfId="200"/>
    <cellStyle name="Normal 48" xfId="201"/>
    <cellStyle name="Normal 49" xfId="202"/>
    <cellStyle name="Normal 5" xfId="203"/>
    <cellStyle name="Normal 5 10" xfId="204"/>
    <cellStyle name="Normal 5 11" xfId="205"/>
    <cellStyle name="Normal 5 12" xfId="206"/>
    <cellStyle name="Normal 5 13" xfId="207"/>
    <cellStyle name="Normal 5 14" xfId="208"/>
    <cellStyle name="Normal 5 15" xfId="209"/>
    <cellStyle name="Normal 5 16" xfId="210"/>
    <cellStyle name="Normal 5 17" xfId="211"/>
    <cellStyle name="Normal 5 18" xfId="212"/>
    <cellStyle name="Normal 5 19" xfId="213"/>
    <cellStyle name="Normal 5 2" xfId="214"/>
    <cellStyle name="Normal 5 20" xfId="215"/>
    <cellStyle name="Normal 5 3" xfId="216"/>
    <cellStyle name="Normal 5 4" xfId="217"/>
    <cellStyle name="Normal 5 5" xfId="218"/>
    <cellStyle name="Normal 5 6" xfId="219"/>
    <cellStyle name="Normal 5 7" xfId="220"/>
    <cellStyle name="Normal 5 8" xfId="221"/>
    <cellStyle name="Normal 5 9" xfId="222"/>
    <cellStyle name="Normal 50" xfId="223"/>
    <cellStyle name="Normal 6" xfId="224"/>
    <cellStyle name="Normal 6 10" xfId="225"/>
    <cellStyle name="Normal 6 11" xfId="226"/>
    <cellStyle name="Normal 6 12" xfId="227"/>
    <cellStyle name="Normal 6 13" xfId="228"/>
    <cellStyle name="Normal 6 14" xfId="229"/>
    <cellStyle name="Normal 6 15" xfId="230"/>
    <cellStyle name="Normal 6 16" xfId="231"/>
    <cellStyle name="Normal 6 17" xfId="232"/>
    <cellStyle name="Normal 6 18" xfId="233"/>
    <cellStyle name="Normal 6 2" xfId="234"/>
    <cellStyle name="Normal 6 3" xfId="235"/>
    <cellStyle name="Normal 6 4" xfId="236"/>
    <cellStyle name="Normal 6 5" xfId="237"/>
    <cellStyle name="Normal 6 6" xfId="238"/>
    <cellStyle name="Normal 6 7" xfId="239"/>
    <cellStyle name="Normal 6 8" xfId="240"/>
    <cellStyle name="Normal 6 9" xfId="241"/>
    <cellStyle name="Normal 6_Toàn TP" xfId="242"/>
    <cellStyle name="Normal 7" xfId="243"/>
    <cellStyle name="Normal 7 10" xfId="244"/>
    <cellStyle name="Normal 7 11" xfId="245"/>
    <cellStyle name="Normal 7 12" xfId="246"/>
    <cellStyle name="Normal 7 13" xfId="247"/>
    <cellStyle name="Normal 7 14" xfId="248"/>
    <cellStyle name="Normal 7 15" xfId="249"/>
    <cellStyle name="Normal 7 16" xfId="250"/>
    <cellStyle name="Normal 7 2" xfId="251"/>
    <cellStyle name="Normal 7 3" xfId="252"/>
    <cellStyle name="Normal 7 4" xfId="253"/>
    <cellStyle name="Normal 7 5" xfId="254"/>
    <cellStyle name="Normal 7 6" xfId="255"/>
    <cellStyle name="Normal 7 7" xfId="256"/>
    <cellStyle name="Normal 7 8" xfId="257"/>
    <cellStyle name="Normal 7 9" xfId="258"/>
    <cellStyle name="Normal 8" xfId="259"/>
    <cellStyle name="Normal 8 10" xfId="260"/>
    <cellStyle name="Normal 8 11" xfId="261"/>
    <cellStyle name="Normal 8 12" xfId="262"/>
    <cellStyle name="Normal 8 13" xfId="263"/>
    <cellStyle name="Normal 8 14" xfId="264"/>
    <cellStyle name="Normal 8 2" xfId="265"/>
    <cellStyle name="Normal 8 3" xfId="266"/>
    <cellStyle name="Normal 8 4" xfId="267"/>
    <cellStyle name="Normal 8 5" xfId="268"/>
    <cellStyle name="Normal 8 6" xfId="269"/>
    <cellStyle name="Normal 8 7" xfId="270"/>
    <cellStyle name="Normal 8 8" xfId="271"/>
    <cellStyle name="Normal 8 9" xfId="272"/>
    <cellStyle name="Normal 9" xfId="273"/>
    <cellStyle name="Normal 9 10" xfId="274"/>
    <cellStyle name="Normal 9 11" xfId="275"/>
    <cellStyle name="Normal 9 12" xfId="276"/>
    <cellStyle name="Normal 9 2" xfId="277"/>
    <cellStyle name="Normal 9 3" xfId="278"/>
    <cellStyle name="Normal 9 4" xfId="279"/>
    <cellStyle name="Normal 9 5" xfId="280"/>
    <cellStyle name="Normal 9 6" xfId="281"/>
    <cellStyle name="Normal 9 7" xfId="282"/>
    <cellStyle name="Normal 9 8" xfId="283"/>
    <cellStyle name="Normal 9 9" xfId="284"/>
    <cellStyle name="Normal_1. (Goc) THONG KE TT01 Toàn tỉnh Hoa Binh 6 tháng 2013" xfId="285"/>
    <cellStyle name="Normal_1. (Goc) THONG KE TT01 Toàn tỉnh Hoa Binh 6 tháng 2013_06" xfId="286"/>
    <cellStyle name="Normal_1. (Goc) THONG KE TT01 Toàn tỉnh Hoa Binh 6 tháng 2013_07" xfId="287"/>
    <cellStyle name="Normal_19 bieu m nhapcong thuc da sao 11 don vi " xfId="288"/>
    <cellStyle name="Normal_19 bieu m nhapcong thuc da sao 11 don vi  2" xfId="289"/>
    <cellStyle name="Normal_Bieu 8 - Bieu 19 toan tinh" xfId="290"/>
    <cellStyle name="Normal_Bieu mau TK tu 11 den 19 (ban phat hanh)" xfId="291"/>
    <cellStyle name="Normal_Bieu mau TK tu 11 den 19 (ban phat hanh) 2" xfId="292"/>
    <cellStyle name="Normal_Bieu mau TK tu 11 den 19 (ban phat hanh)_07" xfId="293"/>
    <cellStyle name="Normal_Sheet1" xfId="294"/>
    <cellStyle name="Normal_Sheet2" xfId="295"/>
    <cellStyle name="Normal_Sheet3" xfId="296"/>
    <cellStyle name="Note" xfId="297"/>
    <cellStyle name="Note 2" xfId="298"/>
    <cellStyle name="Note 3" xfId="299"/>
    <cellStyle name="Output" xfId="300"/>
    <cellStyle name="Output 2" xfId="301"/>
    <cellStyle name="Output 3" xfId="302"/>
    <cellStyle name="Percent" xfId="303"/>
    <cellStyle name="Percent 10" xfId="304"/>
    <cellStyle name="Percent 11" xfId="305"/>
    <cellStyle name="Percent 13" xfId="306"/>
    <cellStyle name="Percent 14" xfId="307"/>
    <cellStyle name="Percent 2" xfId="308"/>
    <cellStyle name="Percent 2 2" xfId="309"/>
    <cellStyle name="Percent 2 2 2" xfId="310"/>
    <cellStyle name="Percent 2 2 2 2" xfId="311"/>
    <cellStyle name="Percent 3" xfId="312"/>
    <cellStyle name="Percent 4" xfId="313"/>
    <cellStyle name="Title" xfId="314"/>
    <cellStyle name="Title 2" xfId="315"/>
    <cellStyle name="Title 3" xfId="316"/>
    <cellStyle name="Total" xfId="317"/>
    <cellStyle name="Total 2" xfId="318"/>
    <cellStyle name="Total 3" xfId="319"/>
    <cellStyle name="Warning Text" xfId="320"/>
    <cellStyle name="Warning Text 2" xfId="321"/>
    <cellStyle name="Warning Text 3" xfId="322"/>
  </cellStyles>
  <dxfs count="3">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383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478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876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266700" y="720090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266700" y="720090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266700" y="72009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266700" y="73914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266700" y="73914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266700" y="73914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002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0002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13" t="s">
        <v>28</v>
      </c>
      <c r="B1" s="913"/>
      <c r="C1" s="919" t="s">
        <v>91</v>
      </c>
      <c r="D1" s="919"/>
      <c r="E1" s="919"/>
      <c r="F1" s="914" t="s">
        <v>87</v>
      </c>
      <c r="G1" s="914"/>
      <c r="H1" s="914"/>
    </row>
    <row r="2" spans="1:8" ht="33.75" customHeight="1">
      <c r="A2" s="915" t="s">
        <v>95</v>
      </c>
      <c r="B2" s="915"/>
      <c r="C2" s="919"/>
      <c r="D2" s="919"/>
      <c r="E2" s="919"/>
      <c r="F2" s="916" t="s">
        <v>88</v>
      </c>
      <c r="G2" s="916"/>
      <c r="H2" s="916"/>
    </row>
    <row r="3" spans="1:8" ht="19.5" customHeight="1">
      <c r="A3" s="9" t="s">
        <v>81</v>
      </c>
      <c r="B3" s="9"/>
      <c r="C3" s="27"/>
      <c r="D3" s="27"/>
      <c r="E3" s="27"/>
      <c r="F3" s="916" t="s">
        <v>89</v>
      </c>
      <c r="G3" s="916"/>
      <c r="H3" s="916"/>
    </row>
    <row r="4" spans="1:8" s="10" customFormat="1" ht="19.5" customHeight="1">
      <c r="A4" s="9"/>
      <c r="B4" s="9"/>
      <c r="D4" s="11"/>
      <c r="F4" s="12" t="s">
        <v>90</v>
      </c>
      <c r="G4" s="12"/>
      <c r="H4" s="12"/>
    </row>
    <row r="5" spans="1:8" s="26" customFormat="1" ht="36" customHeight="1">
      <c r="A5" s="932" t="s">
        <v>72</v>
      </c>
      <c r="B5" s="933"/>
      <c r="C5" s="936" t="s">
        <v>85</v>
      </c>
      <c r="D5" s="937"/>
      <c r="E5" s="938" t="s">
        <v>84</v>
      </c>
      <c r="F5" s="938"/>
      <c r="G5" s="938"/>
      <c r="H5" s="918"/>
    </row>
    <row r="6" spans="1:8" s="26" customFormat="1" ht="20.25" customHeight="1">
      <c r="A6" s="934"/>
      <c r="B6" s="935"/>
      <c r="C6" s="920" t="s">
        <v>3</v>
      </c>
      <c r="D6" s="920" t="s">
        <v>92</v>
      </c>
      <c r="E6" s="917" t="s">
        <v>86</v>
      </c>
      <c r="F6" s="918"/>
      <c r="G6" s="917" t="s">
        <v>93</v>
      </c>
      <c r="H6" s="918"/>
    </row>
    <row r="7" spans="1:8" s="26" customFormat="1" ht="52.5" customHeight="1">
      <c r="A7" s="934"/>
      <c r="B7" s="935"/>
      <c r="C7" s="921"/>
      <c r="D7" s="921"/>
      <c r="E7" s="8" t="s">
        <v>3</v>
      </c>
      <c r="F7" s="8" t="s">
        <v>10</v>
      </c>
      <c r="G7" s="8" t="s">
        <v>3</v>
      </c>
      <c r="H7" s="8" t="s">
        <v>10</v>
      </c>
    </row>
    <row r="8" spans="1:8" ht="15" customHeight="1">
      <c r="A8" s="923" t="s">
        <v>6</v>
      </c>
      <c r="B8" s="924"/>
      <c r="C8" s="13">
        <v>1</v>
      </c>
      <c r="D8" s="13" t="s">
        <v>53</v>
      </c>
      <c r="E8" s="13" t="s">
        <v>58</v>
      </c>
      <c r="F8" s="13" t="s">
        <v>73</v>
      </c>
      <c r="G8" s="13" t="s">
        <v>74</v>
      </c>
      <c r="H8" s="13" t="s">
        <v>75</v>
      </c>
    </row>
    <row r="9" spans="1:8" ht="26.25" customHeight="1">
      <c r="A9" s="925" t="s">
        <v>41</v>
      </c>
      <c r="B9" s="926"/>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27" t="s">
        <v>68</v>
      </c>
      <c r="C16" s="927"/>
      <c r="D16" s="29"/>
      <c r="E16" s="929" t="s">
        <v>21</v>
      </c>
      <c r="F16" s="929"/>
      <c r="G16" s="929"/>
      <c r="H16" s="929"/>
    </row>
    <row r="17" spans="2:8" ht="15.75" customHeight="1">
      <c r="B17" s="927"/>
      <c r="C17" s="927"/>
      <c r="D17" s="29"/>
      <c r="E17" s="930" t="s">
        <v>46</v>
      </c>
      <c r="F17" s="930"/>
      <c r="G17" s="930"/>
      <c r="H17" s="930"/>
    </row>
    <row r="18" spans="2:8" s="30" customFormat="1" ht="15.75" customHeight="1">
      <c r="B18" s="927"/>
      <c r="C18" s="927"/>
      <c r="D18" s="31"/>
      <c r="E18" s="931" t="s">
        <v>67</v>
      </c>
      <c r="F18" s="931"/>
      <c r="G18" s="931"/>
      <c r="H18" s="931"/>
    </row>
    <row r="20" ht="15.75">
      <c r="B20" s="22"/>
    </row>
    <row r="22" ht="15.75" hidden="1">
      <c r="A22" s="23" t="s">
        <v>49</v>
      </c>
    </row>
    <row r="23" spans="1:3" ht="15.75" hidden="1">
      <c r="A23" s="24"/>
      <c r="B23" s="928" t="s">
        <v>59</v>
      </c>
      <c r="C23" s="928"/>
    </row>
    <row r="24" spans="1:8" ht="15.75" customHeight="1" hidden="1">
      <c r="A24" s="25" t="s">
        <v>27</v>
      </c>
      <c r="B24" s="922" t="s">
        <v>63</v>
      </c>
      <c r="C24" s="922"/>
      <c r="D24" s="25"/>
      <c r="E24" s="25"/>
      <c r="F24" s="25"/>
      <c r="G24" s="25"/>
      <c r="H24" s="25"/>
    </row>
    <row r="25" spans="1:8" ht="15" customHeight="1" hidden="1">
      <c r="A25" s="25"/>
      <c r="B25" s="922" t="s">
        <v>66</v>
      </c>
      <c r="C25" s="922"/>
      <c r="D25" s="922"/>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124" t="s">
        <v>324</v>
      </c>
      <c r="B1" s="1124"/>
      <c r="C1" s="1124"/>
      <c r="D1" s="1127" t="s">
        <v>451</v>
      </c>
      <c r="E1" s="1127"/>
      <c r="F1" s="1127"/>
      <c r="G1" s="1127"/>
      <c r="H1" s="1127"/>
      <c r="I1" s="1127"/>
      <c r="J1" s="200" t="s">
        <v>452</v>
      </c>
      <c r="K1" s="331"/>
      <c r="L1" s="331"/>
    </row>
    <row r="2" spans="1:12" ht="18.75" customHeight="1">
      <c r="A2" s="1125" t="s">
        <v>410</v>
      </c>
      <c r="B2" s="1125"/>
      <c r="C2" s="1125"/>
      <c r="D2" s="1205" t="s">
        <v>325</v>
      </c>
      <c r="E2" s="1205"/>
      <c r="F2" s="1205"/>
      <c r="G2" s="1205"/>
      <c r="H2" s="1205"/>
      <c r="I2" s="1205"/>
      <c r="J2" s="1124" t="s">
        <v>453</v>
      </c>
      <c r="K2" s="1124"/>
      <c r="L2" s="1124"/>
    </row>
    <row r="3" spans="1:12" ht="17.25">
      <c r="A3" s="1125" t="s">
        <v>362</v>
      </c>
      <c r="B3" s="1125"/>
      <c r="C3" s="1125"/>
      <c r="D3" s="1206" t="s">
        <v>454</v>
      </c>
      <c r="E3" s="1207"/>
      <c r="F3" s="1207"/>
      <c r="G3" s="1207"/>
      <c r="H3" s="1207"/>
      <c r="I3" s="1207"/>
      <c r="J3" s="203" t="s">
        <v>470</v>
      </c>
      <c r="K3" s="203"/>
      <c r="L3" s="203"/>
    </row>
    <row r="4" spans="1:12" ht="15.75">
      <c r="A4" s="1202" t="s">
        <v>455</v>
      </c>
      <c r="B4" s="1202"/>
      <c r="C4" s="1202"/>
      <c r="D4" s="1203"/>
      <c r="E4" s="1203"/>
      <c r="F4" s="1203"/>
      <c r="G4" s="1203"/>
      <c r="H4" s="1203"/>
      <c r="I4" s="1203"/>
      <c r="J4" s="1132" t="s">
        <v>412</v>
      </c>
      <c r="K4" s="1132"/>
      <c r="L4" s="1132"/>
    </row>
    <row r="5" spans="1:13" ht="15.75">
      <c r="A5" s="333"/>
      <c r="B5" s="333"/>
      <c r="C5" s="334"/>
      <c r="D5" s="334"/>
      <c r="E5" s="202"/>
      <c r="J5" s="335" t="s">
        <v>456</v>
      </c>
      <c r="K5" s="250"/>
      <c r="L5" s="250"/>
      <c r="M5" s="250"/>
    </row>
    <row r="6" spans="1:13" s="338" customFormat="1" ht="24.75" customHeight="1">
      <c r="A6" s="1196" t="s">
        <v>72</v>
      </c>
      <c r="B6" s="1197"/>
      <c r="C6" s="1194" t="s">
        <v>457</v>
      </c>
      <c r="D6" s="1194"/>
      <c r="E6" s="1194"/>
      <c r="F6" s="1194"/>
      <c r="G6" s="1194"/>
      <c r="H6" s="1194"/>
      <c r="I6" s="1194" t="s">
        <v>326</v>
      </c>
      <c r="J6" s="1194"/>
      <c r="K6" s="1194"/>
      <c r="L6" s="1194"/>
      <c r="M6" s="337"/>
    </row>
    <row r="7" spans="1:13" s="338" customFormat="1" ht="17.25" customHeight="1">
      <c r="A7" s="1198"/>
      <c r="B7" s="1199"/>
      <c r="C7" s="1194" t="s">
        <v>38</v>
      </c>
      <c r="D7" s="1194"/>
      <c r="E7" s="1194" t="s">
        <v>7</v>
      </c>
      <c r="F7" s="1194"/>
      <c r="G7" s="1194"/>
      <c r="H7" s="1194"/>
      <c r="I7" s="1194" t="s">
        <v>327</v>
      </c>
      <c r="J7" s="1194"/>
      <c r="K7" s="1194" t="s">
        <v>328</v>
      </c>
      <c r="L7" s="1194"/>
      <c r="M7" s="337"/>
    </row>
    <row r="8" spans="1:12" s="338" customFormat="1" ht="27.75" customHeight="1">
      <c r="A8" s="1198"/>
      <c r="B8" s="1199"/>
      <c r="C8" s="1194"/>
      <c r="D8" s="1194"/>
      <c r="E8" s="1194" t="s">
        <v>329</v>
      </c>
      <c r="F8" s="1194"/>
      <c r="G8" s="1194" t="s">
        <v>330</v>
      </c>
      <c r="H8" s="1194"/>
      <c r="I8" s="1194"/>
      <c r="J8" s="1194"/>
      <c r="K8" s="1194"/>
      <c r="L8" s="1194"/>
    </row>
    <row r="9" spans="1:12" s="338" customFormat="1" ht="24.75" customHeight="1">
      <c r="A9" s="1200"/>
      <c r="B9" s="1201"/>
      <c r="C9" s="336" t="s">
        <v>331</v>
      </c>
      <c r="D9" s="336" t="s">
        <v>10</v>
      </c>
      <c r="E9" s="336" t="s">
        <v>3</v>
      </c>
      <c r="F9" s="336" t="s">
        <v>332</v>
      </c>
      <c r="G9" s="336" t="s">
        <v>3</v>
      </c>
      <c r="H9" s="336" t="s">
        <v>332</v>
      </c>
      <c r="I9" s="336" t="s">
        <v>3</v>
      </c>
      <c r="J9" s="336" t="s">
        <v>332</v>
      </c>
      <c r="K9" s="336" t="s">
        <v>3</v>
      </c>
      <c r="L9" s="336" t="s">
        <v>332</v>
      </c>
    </row>
    <row r="10" spans="1:12" s="340" customFormat="1" ht="15.75">
      <c r="A10" s="1095" t="s">
        <v>6</v>
      </c>
      <c r="B10" s="1096"/>
      <c r="C10" s="339">
        <v>1</v>
      </c>
      <c r="D10" s="339">
        <v>2</v>
      </c>
      <c r="E10" s="339">
        <v>3</v>
      </c>
      <c r="F10" s="339">
        <v>4</v>
      </c>
      <c r="G10" s="339">
        <v>5</v>
      </c>
      <c r="H10" s="339">
        <v>6</v>
      </c>
      <c r="I10" s="339">
        <v>7</v>
      </c>
      <c r="J10" s="339">
        <v>8</v>
      </c>
      <c r="K10" s="339">
        <v>9</v>
      </c>
      <c r="L10" s="339">
        <v>10</v>
      </c>
    </row>
    <row r="11" spans="1:12" s="340" customFormat="1" ht="30.75" customHeight="1">
      <c r="A11" s="1107" t="s">
        <v>407</v>
      </c>
      <c r="B11" s="1108"/>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117" t="s">
        <v>408</v>
      </c>
      <c r="B12" s="1118"/>
      <c r="C12" s="258">
        <v>0</v>
      </c>
      <c r="D12" s="258">
        <v>0</v>
      </c>
      <c r="E12" s="258">
        <v>0</v>
      </c>
      <c r="F12" s="258">
        <v>0</v>
      </c>
      <c r="G12" s="258">
        <v>0</v>
      </c>
      <c r="H12" s="258">
        <v>0</v>
      </c>
      <c r="I12" s="258">
        <v>0</v>
      </c>
      <c r="J12" s="258">
        <v>0</v>
      </c>
      <c r="K12" s="258">
        <v>0</v>
      </c>
      <c r="L12" s="258">
        <v>0</v>
      </c>
    </row>
    <row r="13" spans="1:32" s="340" customFormat="1" ht="17.25" customHeight="1">
      <c r="A13" s="1104" t="s">
        <v>37</v>
      </c>
      <c r="B13" s="1100"/>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120" t="s">
        <v>395</v>
      </c>
      <c r="C28" s="1120"/>
      <c r="D28" s="1120"/>
      <c r="E28" s="213"/>
      <c r="F28" s="267"/>
      <c r="G28" s="267"/>
      <c r="H28" s="1119" t="s">
        <v>395</v>
      </c>
      <c r="I28" s="1119"/>
      <c r="J28" s="1119"/>
      <c r="K28" s="1119"/>
      <c r="L28" s="1119"/>
      <c r="AG28" s="201" t="s">
        <v>396</v>
      </c>
      <c r="AI28" s="199">
        <f>82/88</f>
        <v>0.9318181818181818</v>
      </c>
    </row>
    <row r="29" spans="1:12" s="201" customFormat="1" ht="19.5" customHeight="1">
      <c r="A29" s="211"/>
      <c r="B29" s="1121" t="s">
        <v>333</v>
      </c>
      <c r="C29" s="1121"/>
      <c r="D29" s="1121"/>
      <c r="E29" s="213"/>
      <c r="F29" s="214"/>
      <c r="G29" s="214"/>
      <c r="H29" s="1122" t="s">
        <v>251</v>
      </c>
      <c r="I29" s="1122"/>
      <c r="J29" s="1122"/>
      <c r="K29" s="1122"/>
      <c r="L29" s="1122"/>
    </row>
    <row r="30" spans="1:12" s="205" customFormat="1" ht="15" customHeight="1">
      <c r="A30" s="211"/>
      <c r="B30" s="1195"/>
      <c r="C30" s="1195"/>
      <c r="D30" s="1195"/>
      <c r="E30" s="213"/>
      <c r="F30" s="214"/>
      <c r="G30" s="214"/>
      <c r="H30" s="1067"/>
      <c r="I30" s="1067"/>
      <c r="J30" s="1067"/>
      <c r="K30" s="1067"/>
      <c r="L30" s="1067"/>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93" t="s">
        <v>399</v>
      </c>
      <c r="C33" s="1193"/>
      <c r="D33" s="1193"/>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204" t="s">
        <v>334</v>
      </c>
      <c r="C37" s="1204"/>
      <c r="D37" s="1204"/>
      <c r="E37" s="1204"/>
      <c r="F37" s="1204"/>
      <c r="G37" s="1204"/>
      <c r="H37" s="1204"/>
      <c r="I37" s="1204"/>
      <c r="J37" s="1204"/>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939" t="s">
        <v>441</v>
      </c>
      <c r="C41" s="939"/>
      <c r="D41" s="939"/>
      <c r="E41" s="219"/>
      <c r="F41" s="219"/>
      <c r="G41" s="191"/>
      <c r="H41" s="940" t="s">
        <v>353</v>
      </c>
      <c r="I41" s="940"/>
      <c r="J41" s="940"/>
      <c r="K41" s="940"/>
      <c r="L41" s="940"/>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208" t="s">
        <v>483</v>
      </c>
      <c r="M1" s="1209"/>
      <c r="N1" s="1209"/>
      <c r="O1" s="374"/>
      <c r="P1" s="374"/>
      <c r="Q1" s="374"/>
      <c r="R1" s="374"/>
      <c r="S1" s="374"/>
      <c r="T1" s="374"/>
      <c r="U1" s="374"/>
      <c r="V1" s="374"/>
      <c r="W1" s="374"/>
      <c r="X1" s="374"/>
      <c r="Y1" s="375"/>
    </row>
    <row r="2" spans="11:17" ht="34.5" customHeight="1">
      <c r="K2" s="358"/>
      <c r="L2" s="1210" t="s">
        <v>490</v>
      </c>
      <c r="M2" s="1211"/>
      <c r="N2" s="1212"/>
      <c r="O2" s="38"/>
      <c r="P2" s="360"/>
      <c r="Q2" s="356"/>
    </row>
    <row r="3" spans="11:18" ht="31.5" customHeight="1">
      <c r="K3" s="358"/>
      <c r="L3" s="363" t="s">
        <v>499</v>
      </c>
      <c r="M3" s="364">
        <f>'06'!C11</f>
        <v>10825</v>
      </c>
      <c r="N3" s="364"/>
      <c r="O3" s="364"/>
      <c r="P3" s="361"/>
      <c r="Q3" s="357"/>
      <c r="R3" s="354"/>
    </row>
    <row r="4" spans="11:18" ht="30" customHeight="1">
      <c r="K4" s="358"/>
      <c r="L4" s="365" t="s">
        <v>484</v>
      </c>
      <c r="M4" s="366">
        <f>'06'!D11</f>
        <v>8097</v>
      </c>
      <c r="N4" s="364"/>
      <c r="O4" s="364"/>
      <c r="P4" s="361"/>
      <c r="Q4" s="357"/>
      <c r="R4" s="354"/>
    </row>
    <row r="5" spans="11:18" ht="31.5" customHeight="1">
      <c r="K5" s="358"/>
      <c r="L5" s="365" t="s">
        <v>485</v>
      </c>
      <c r="M5" s="366">
        <f>'06'!E11</f>
        <v>2728</v>
      </c>
      <c r="N5" s="364"/>
      <c r="O5" s="364"/>
      <c r="P5" s="361"/>
      <c r="Q5" s="357"/>
      <c r="R5" s="354"/>
    </row>
    <row r="6" spans="11:18" ht="27" customHeight="1">
      <c r="K6" s="358"/>
      <c r="L6" s="363" t="s">
        <v>486</v>
      </c>
      <c r="M6" s="364">
        <f>'06'!F11</f>
        <v>30</v>
      </c>
      <c r="N6" s="364"/>
      <c r="O6" s="364"/>
      <c r="P6" s="361"/>
      <c r="Q6" s="357"/>
      <c r="R6" s="354"/>
    </row>
    <row r="7" spans="11:18" s="351" customFormat="1" ht="30" customHeight="1">
      <c r="K7" s="359"/>
      <c r="L7" s="367" t="s">
        <v>525</v>
      </c>
      <c r="M7" s="364">
        <f>'06'!H11</f>
        <v>10795</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6.2498321020819345</v>
      </c>
      <c r="N9" s="364"/>
      <c r="O9" s="364"/>
      <c r="P9" s="361"/>
      <c r="Q9" s="357"/>
      <c r="R9" s="354"/>
    </row>
    <row r="10" spans="11:18" ht="33" customHeight="1">
      <c r="K10" s="358"/>
      <c r="L10" s="363" t="s">
        <v>526</v>
      </c>
      <c r="M10" s="364">
        <f>'06'!I11</f>
        <v>5045</v>
      </c>
      <c r="N10" s="364" t="s">
        <v>487</v>
      </c>
      <c r="O10" s="370">
        <f>M10/M7</f>
        <v>0.4673459935155164</v>
      </c>
      <c r="P10" s="361"/>
      <c r="Q10" s="357"/>
      <c r="R10" s="354"/>
    </row>
    <row r="11" spans="11:18" ht="22.5" customHeight="1">
      <c r="K11" s="358"/>
      <c r="L11" s="363" t="s">
        <v>528</v>
      </c>
      <c r="M11" s="364">
        <f>'06'!Q11</f>
        <v>5750</v>
      </c>
      <c r="N11" s="364" t="s">
        <v>487</v>
      </c>
      <c r="O11" s="370">
        <f>M11/M7</f>
        <v>0.5326540064844836</v>
      </c>
      <c r="P11" s="361"/>
      <c r="Q11" s="357"/>
      <c r="R11" s="354"/>
    </row>
    <row r="12" spans="11:18" ht="34.5" customHeight="1">
      <c r="K12" s="358"/>
      <c r="L12" s="363" t="s">
        <v>529</v>
      </c>
      <c r="M12" s="364">
        <f>'06'!J11+'06'!K11</f>
        <v>1720</v>
      </c>
      <c r="N12" s="363"/>
      <c r="O12" s="363"/>
      <c r="P12" s="355"/>
      <c r="R12" s="355"/>
    </row>
    <row r="13" spans="11:18" ht="33.75" customHeight="1">
      <c r="K13" s="358"/>
      <c r="L13" s="363" t="s">
        <v>530</v>
      </c>
      <c r="M13" s="370">
        <f>M12/M7</f>
        <v>0.15933302454840204</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-0.3436891379767827</v>
      </c>
      <c r="N18" s="364"/>
      <c r="O18" s="364"/>
      <c r="P18" s="361"/>
      <c r="R18" s="355"/>
    </row>
    <row r="19" spans="11:18" ht="24.75" customHeight="1">
      <c r="K19" s="358"/>
      <c r="L19" s="363" t="s">
        <v>533</v>
      </c>
      <c r="M19" s="364">
        <f>'06'!J11</f>
        <v>1669</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0.33082259663032704</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-0.3418392738732701</v>
      </c>
      <c r="N30" s="364"/>
      <c r="O30" s="364"/>
      <c r="P30" s="361"/>
      <c r="R30" s="355"/>
    </row>
    <row r="31" spans="11:18" ht="24.75" customHeight="1">
      <c r="K31" s="358"/>
      <c r="L31" s="363" t="s">
        <v>537</v>
      </c>
      <c r="M31" s="364">
        <f>'06'!R11</f>
        <v>9075</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8356</v>
      </c>
      <c r="N33" s="378" t="s">
        <v>489</v>
      </c>
      <c r="O33" s="377">
        <f>(M31-M32)/M32</f>
        <v>11.621696801112657</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4985670303</v>
      </c>
      <c r="N42" s="364"/>
      <c r="O42" s="364"/>
      <c r="P42" s="355"/>
      <c r="R42" s="355"/>
    </row>
    <row r="43" spans="11:18" ht="24.75" customHeight="1">
      <c r="K43" s="358"/>
      <c r="L43" s="372" t="s">
        <v>132</v>
      </c>
      <c r="M43" s="364">
        <f>'07'!D11</f>
        <v>3209226708</v>
      </c>
      <c r="N43" s="364"/>
      <c r="O43" s="364"/>
      <c r="P43" s="355"/>
      <c r="R43" s="355"/>
    </row>
    <row r="44" spans="11:18" ht="24.75" customHeight="1">
      <c r="K44" s="358"/>
      <c r="L44" s="372" t="s">
        <v>485</v>
      </c>
      <c r="M44" s="364">
        <f>'07'!E11</f>
        <v>1776443595</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4732420</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4980937883</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f>M50-M51</f>
        <v>4926710060.558</v>
      </c>
      <c r="N52" s="364"/>
      <c r="O52" s="364"/>
      <c r="P52" s="355"/>
      <c r="R52" s="355"/>
    </row>
    <row r="53" spans="11:18" ht="24.75" customHeight="1">
      <c r="K53" s="358"/>
      <c r="L53" s="386" t="s">
        <v>493</v>
      </c>
      <c r="M53" s="377">
        <f>(M52/M51)</f>
        <v>90.85207258372618</v>
      </c>
      <c r="N53" s="364"/>
      <c r="O53" s="364"/>
      <c r="P53" s="355"/>
      <c r="R53" s="355"/>
    </row>
    <row r="54" spans="11:18" ht="24.75" customHeight="1">
      <c r="K54" s="358"/>
      <c r="L54" s="372" t="s">
        <v>544</v>
      </c>
      <c r="M54" s="364">
        <f>'07'!I11</f>
        <v>3369679897</v>
      </c>
      <c r="N54" s="364" t="s">
        <v>494</v>
      </c>
      <c r="O54" s="370">
        <f>'07'!I11/'07'!H11</f>
        <v>0.6765151415561229</v>
      </c>
      <c r="P54" s="355"/>
      <c r="R54" s="355"/>
    </row>
    <row r="55" spans="11:18" ht="24.75" customHeight="1">
      <c r="K55" s="358"/>
      <c r="L55" s="372" t="s">
        <v>545</v>
      </c>
      <c r="M55" s="364">
        <f>'07'!R11</f>
        <v>1611257986</v>
      </c>
      <c r="N55" s="364" t="s">
        <v>494</v>
      </c>
      <c r="O55" s="370">
        <f>'07'!R11/'07'!H11</f>
        <v>0.32348485844387714</v>
      </c>
      <c r="P55" s="355"/>
      <c r="R55" s="355"/>
    </row>
    <row r="56" spans="11:18" ht="24.75" customHeight="1">
      <c r="K56" s="358"/>
      <c r="L56" s="372" t="s">
        <v>546</v>
      </c>
      <c r="M56" s="364">
        <f>'07'!J11+'07'!K11+'07'!L11</f>
        <v>132752993</v>
      </c>
      <c r="N56" s="364" t="s">
        <v>494</v>
      </c>
      <c r="O56" s="370">
        <f>M56/'07'!H11</f>
        <v>0.026652208101829084</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-0.014244261646186251</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123654593</v>
      </c>
      <c r="N63" s="364" t="s">
        <v>495</v>
      </c>
      <c r="O63" s="370">
        <f>'07'!J11/'07'!I11</f>
        <v>0.036696243198082026</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0.022452741878268373</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4848184890</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4800058079.638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99.73771466533823</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A18" sqref="A18"/>
    </sheetView>
  </sheetViews>
  <sheetFormatPr defaultColWidth="9.00390625" defaultRowHeight="15.75"/>
  <cols>
    <col min="1" max="1" width="23.50390625" style="0" customWidth="1"/>
    <col min="2" max="2" width="66.125" style="0" customWidth="1"/>
  </cols>
  <sheetData>
    <row r="2" spans="1:2" ht="62.25" customHeight="1">
      <c r="A2" s="1213" t="s">
        <v>582</v>
      </c>
      <c r="B2" s="1213"/>
    </row>
    <row r="3" spans="1:2" ht="22.5" customHeight="1">
      <c r="A3" s="506" t="s">
        <v>558</v>
      </c>
      <c r="B3" s="546" t="s">
        <v>855</v>
      </c>
    </row>
    <row r="4" spans="1:2" ht="22.5" customHeight="1">
      <c r="A4" s="506" t="s">
        <v>556</v>
      </c>
      <c r="B4" s="507" t="s">
        <v>775</v>
      </c>
    </row>
    <row r="5" spans="1:2" ht="22.5" customHeight="1">
      <c r="A5" s="506" t="s">
        <v>559</v>
      </c>
      <c r="B5" s="545" t="s">
        <v>774</v>
      </c>
    </row>
    <row r="6" spans="1:2" ht="22.5" customHeight="1">
      <c r="A6" s="506" t="s">
        <v>560</v>
      </c>
      <c r="B6" s="545" t="s">
        <v>658</v>
      </c>
    </row>
    <row r="7" spans="1:2" ht="34.5" customHeight="1">
      <c r="A7" s="506" t="s">
        <v>561</v>
      </c>
      <c r="B7" s="645" t="s">
        <v>776</v>
      </c>
    </row>
    <row r="8" spans="1:2" ht="15.75">
      <c r="A8" s="508" t="s">
        <v>562</v>
      </c>
      <c r="B8" s="646" t="s">
        <v>856</v>
      </c>
    </row>
    <row r="10" spans="1:2" ht="62.25" customHeight="1">
      <c r="A10" s="1214" t="s">
        <v>650</v>
      </c>
      <c r="B10" s="1214"/>
    </row>
    <row r="11" spans="1:2" ht="15.75">
      <c r="A11" s="1215" t="s">
        <v>581</v>
      </c>
      <c r="B11" s="1215"/>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Z26"/>
  <sheetViews>
    <sheetView showZeros="0" view="pageBreakPreview" zoomScale="85" zoomScaleNormal="85" zoomScaleSheetLayoutView="85" zoomScalePageLayoutView="0" workbookViewId="0" topLeftCell="A10">
      <selection activeCell="C11" sqref="C11:N25"/>
    </sheetView>
  </sheetViews>
  <sheetFormatPr defaultColWidth="9.00390625" defaultRowHeight="15.75"/>
  <cols>
    <col min="1" max="1" width="4.125" style="436"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6.75390625" style="388" customWidth="1"/>
    <col min="14" max="15" width="7.75390625" style="388" customWidth="1"/>
    <col min="16" max="16384" width="9.00390625" style="388" customWidth="1"/>
  </cols>
  <sheetData>
    <row r="1" spans="1:15" ht="19.5" customHeight="1">
      <c r="A1" s="1240" t="s">
        <v>29</v>
      </c>
      <c r="B1" s="1240"/>
      <c r="C1" s="414"/>
      <c r="D1" s="1241" t="s">
        <v>82</v>
      </c>
      <c r="E1" s="1241"/>
      <c r="F1" s="1241"/>
      <c r="G1" s="1241"/>
      <c r="H1" s="1241"/>
      <c r="I1" s="1241"/>
      <c r="J1" s="1241"/>
      <c r="K1" s="1241"/>
      <c r="L1" s="1231" t="s">
        <v>557</v>
      </c>
      <c r="M1" s="1231"/>
      <c r="N1" s="1231"/>
      <c r="O1" s="415"/>
    </row>
    <row r="2" spans="1:17" ht="16.5" customHeight="1">
      <c r="A2" s="416" t="s">
        <v>344</v>
      </c>
      <c r="B2" s="416"/>
      <c r="C2" s="416"/>
      <c r="D2" s="1241" t="s">
        <v>118</v>
      </c>
      <c r="E2" s="1241"/>
      <c r="F2" s="1241"/>
      <c r="G2" s="1241"/>
      <c r="H2" s="1241"/>
      <c r="I2" s="1241"/>
      <c r="J2" s="1241"/>
      <c r="K2" s="1241"/>
      <c r="L2" s="1232" t="str">
        <f>'Thong tin'!B4</f>
        <v>CTHADS Hải Phòng</v>
      </c>
      <c r="M2" s="1232"/>
      <c r="N2" s="1232"/>
      <c r="O2" s="665"/>
      <c r="Q2" s="389"/>
    </row>
    <row r="3" spans="1:17" ht="16.5" customHeight="1">
      <c r="A3" s="416" t="s">
        <v>345</v>
      </c>
      <c r="B3" s="416"/>
      <c r="C3" s="413"/>
      <c r="D3" s="1236" t="str">
        <f>'Thong tin'!B3</f>
        <v>03 tháng / năm 2018</v>
      </c>
      <c r="E3" s="1236"/>
      <c r="F3" s="1236"/>
      <c r="G3" s="1236"/>
      <c r="H3" s="1236"/>
      <c r="I3" s="1236"/>
      <c r="J3" s="1236"/>
      <c r="K3" s="1236"/>
      <c r="L3" s="1231" t="s">
        <v>523</v>
      </c>
      <c r="M3" s="1231"/>
      <c r="N3" s="1231"/>
      <c r="O3" s="415"/>
      <c r="Q3" s="390"/>
    </row>
    <row r="4" spans="1:17" ht="16.5" customHeight="1">
      <c r="A4" s="417" t="s">
        <v>119</v>
      </c>
      <c r="B4" s="418"/>
      <c r="C4" s="419"/>
      <c r="D4" s="420"/>
      <c r="E4" s="420"/>
      <c r="F4" s="419"/>
      <c r="G4" s="421"/>
      <c r="H4" s="421"/>
      <c r="I4" s="421"/>
      <c r="J4" s="419"/>
      <c r="K4" s="420"/>
      <c r="L4" s="1232" t="s">
        <v>412</v>
      </c>
      <c r="M4" s="1232"/>
      <c r="N4" s="1232"/>
      <c r="O4" s="665"/>
      <c r="Q4" s="390"/>
    </row>
    <row r="5" spans="1:17" ht="16.5" customHeight="1">
      <c r="A5" s="422"/>
      <c r="B5" s="419"/>
      <c r="C5" s="419"/>
      <c r="D5" s="419"/>
      <c r="E5" s="419"/>
      <c r="F5" s="423"/>
      <c r="G5" s="424"/>
      <c r="H5" s="424"/>
      <c r="I5" s="424"/>
      <c r="J5" s="423"/>
      <c r="K5" s="425"/>
      <c r="L5" s="1233" t="s">
        <v>8</v>
      </c>
      <c r="M5" s="1233"/>
      <c r="N5" s="1233"/>
      <c r="O5" s="666"/>
      <c r="Q5" s="390"/>
    </row>
    <row r="6" spans="1:17" ht="18.75" customHeight="1">
      <c r="A6" s="1216" t="s">
        <v>69</v>
      </c>
      <c r="B6" s="1217"/>
      <c r="C6" s="1222" t="s">
        <v>38</v>
      </c>
      <c r="D6" s="1222" t="s">
        <v>337</v>
      </c>
      <c r="E6" s="1224"/>
      <c r="F6" s="1224"/>
      <c r="G6" s="1224"/>
      <c r="H6" s="1224"/>
      <c r="I6" s="1224"/>
      <c r="J6" s="1224"/>
      <c r="K6" s="1224"/>
      <c r="L6" s="1224"/>
      <c r="M6" s="1224"/>
      <c r="N6" s="1225"/>
      <c r="O6" s="667"/>
      <c r="Q6" s="390"/>
    </row>
    <row r="7" spans="1:17" ht="20.25" customHeight="1">
      <c r="A7" s="1218"/>
      <c r="B7" s="1219"/>
      <c r="C7" s="1223"/>
      <c r="D7" s="1226" t="s">
        <v>120</v>
      </c>
      <c r="E7" s="1228" t="s">
        <v>121</v>
      </c>
      <c r="F7" s="1229"/>
      <c r="G7" s="1230"/>
      <c r="H7" s="1234" t="s">
        <v>122</v>
      </c>
      <c r="I7" s="1234" t="s">
        <v>123</v>
      </c>
      <c r="J7" s="1234" t="s">
        <v>124</v>
      </c>
      <c r="K7" s="1234" t="s">
        <v>125</v>
      </c>
      <c r="L7" s="1234" t="s">
        <v>126</v>
      </c>
      <c r="M7" s="1234" t="s">
        <v>127</v>
      </c>
      <c r="N7" s="1234" t="s">
        <v>128</v>
      </c>
      <c r="O7" s="668"/>
      <c r="P7" s="390"/>
      <c r="Q7" s="390"/>
    </row>
    <row r="8" spans="1:17" ht="21" customHeight="1">
      <c r="A8" s="1218"/>
      <c r="B8" s="1219"/>
      <c r="C8" s="1223"/>
      <c r="D8" s="1226"/>
      <c r="E8" s="1239" t="s">
        <v>37</v>
      </c>
      <c r="F8" s="1243" t="s">
        <v>7</v>
      </c>
      <c r="G8" s="1244"/>
      <c r="H8" s="1234"/>
      <c r="I8" s="1234"/>
      <c r="J8" s="1234"/>
      <c r="K8" s="1234"/>
      <c r="L8" s="1234"/>
      <c r="M8" s="1234"/>
      <c r="N8" s="1234"/>
      <c r="O8" s="668"/>
      <c r="P8" s="1242"/>
      <c r="Q8" s="1242"/>
    </row>
    <row r="9" spans="1:17" ht="24.75" customHeight="1">
      <c r="A9" s="1220"/>
      <c r="B9" s="1221"/>
      <c r="C9" s="1223"/>
      <c r="D9" s="1227"/>
      <c r="E9" s="1235"/>
      <c r="F9" s="547" t="s">
        <v>200</v>
      </c>
      <c r="G9" s="548" t="s">
        <v>201</v>
      </c>
      <c r="H9" s="1235"/>
      <c r="I9" s="1235"/>
      <c r="J9" s="1235"/>
      <c r="K9" s="1235"/>
      <c r="L9" s="1235"/>
      <c r="M9" s="1235"/>
      <c r="N9" s="1235"/>
      <c r="O9" s="668"/>
      <c r="P9" s="391"/>
      <c r="Q9" s="391"/>
    </row>
    <row r="10" spans="1:17" s="393" customFormat="1" ht="18.75" customHeight="1">
      <c r="A10" s="1237" t="s">
        <v>40</v>
      </c>
      <c r="B10" s="1238"/>
      <c r="C10" s="499">
        <v>1</v>
      </c>
      <c r="D10" s="499">
        <v>2</v>
      </c>
      <c r="E10" s="499">
        <v>3</v>
      </c>
      <c r="F10" s="499">
        <v>4</v>
      </c>
      <c r="G10" s="499">
        <v>5</v>
      </c>
      <c r="H10" s="499">
        <v>6</v>
      </c>
      <c r="I10" s="499">
        <v>7</v>
      </c>
      <c r="J10" s="499">
        <v>8</v>
      </c>
      <c r="K10" s="499">
        <v>9</v>
      </c>
      <c r="L10" s="499">
        <v>10</v>
      </c>
      <c r="M10" s="499">
        <v>11</v>
      </c>
      <c r="N10" s="499">
        <v>12</v>
      </c>
      <c r="O10" s="669"/>
      <c r="P10" s="392"/>
      <c r="Q10" s="392"/>
    </row>
    <row r="11" spans="1:18" ht="22.5" customHeight="1">
      <c r="A11" s="500" t="s">
        <v>0</v>
      </c>
      <c r="B11" s="427" t="s">
        <v>131</v>
      </c>
      <c r="C11" s="735">
        <v>9084</v>
      </c>
      <c r="D11" s="735">
        <v>1242</v>
      </c>
      <c r="E11" s="735">
        <v>5447</v>
      </c>
      <c r="F11" s="735">
        <v>2368</v>
      </c>
      <c r="G11" s="735">
        <v>3079</v>
      </c>
      <c r="H11" s="735">
        <v>11</v>
      </c>
      <c r="I11" s="735">
        <v>1545</v>
      </c>
      <c r="J11" s="735">
        <v>772</v>
      </c>
      <c r="K11" s="735">
        <v>30</v>
      </c>
      <c r="L11" s="735">
        <v>36</v>
      </c>
      <c r="M11" s="735">
        <v>0</v>
      </c>
      <c r="N11" s="735">
        <v>1</v>
      </c>
      <c r="O11" s="670"/>
      <c r="P11" s="390"/>
      <c r="Q11" s="390"/>
      <c r="R11" s="428"/>
    </row>
    <row r="12" spans="1:17" ht="22.5" customHeight="1">
      <c r="A12" s="501">
        <v>1</v>
      </c>
      <c r="B12" s="430" t="s">
        <v>132</v>
      </c>
      <c r="C12" s="735">
        <v>6564</v>
      </c>
      <c r="D12" s="736">
        <v>918</v>
      </c>
      <c r="E12" s="737">
        <v>4796</v>
      </c>
      <c r="F12" s="738">
        <v>2235</v>
      </c>
      <c r="G12" s="738">
        <v>2561</v>
      </c>
      <c r="H12" s="738">
        <v>7</v>
      </c>
      <c r="I12" s="738">
        <v>227</v>
      </c>
      <c r="J12" s="738">
        <v>598</v>
      </c>
      <c r="K12" s="738">
        <v>17</v>
      </c>
      <c r="L12" s="738">
        <v>0</v>
      </c>
      <c r="M12" s="738">
        <v>0</v>
      </c>
      <c r="N12" s="738">
        <v>1</v>
      </c>
      <c r="O12" s="671"/>
      <c r="P12" s="390"/>
      <c r="Q12" s="390"/>
    </row>
    <row r="13" spans="1:17" ht="22.5" customHeight="1">
      <c r="A13" s="501">
        <v>2</v>
      </c>
      <c r="B13" s="430" t="s">
        <v>133</v>
      </c>
      <c r="C13" s="735">
        <v>2520</v>
      </c>
      <c r="D13" s="736">
        <v>324</v>
      </c>
      <c r="E13" s="737">
        <v>651</v>
      </c>
      <c r="F13" s="738">
        <v>133</v>
      </c>
      <c r="G13" s="738">
        <v>518</v>
      </c>
      <c r="H13" s="738">
        <v>4</v>
      </c>
      <c r="I13" s="738">
        <v>1318</v>
      </c>
      <c r="J13" s="738">
        <v>174</v>
      </c>
      <c r="K13" s="738">
        <v>13</v>
      </c>
      <c r="L13" s="738">
        <v>36</v>
      </c>
      <c r="M13" s="738">
        <v>0</v>
      </c>
      <c r="N13" s="738">
        <v>0</v>
      </c>
      <c r="O13" s="671"/>
      <c r="P13" s="390"/>
      <c r="Q13" s="390"/>
    </row>
    <row r="14" spans="1:17" ht="22.5" customHeight="1">
      <c r="A14" s="502" t="s">
        <v>1</v>
      </c>
      <c r="B14" s="395" t="s">
        <v>134</v>
      </c>
      <c r="C14" s="735">
        <v>26</v>
      </c>
      <c r="D14" s="736">
        <v>1</v>
      </c>
      <c r="E14" s="737">
        <v>22</v>
      </c>
      <c r="F14" s="738">
        <v>5</v>
      </c>
      <c r="G14" s="738">
        <v>17</v>
      </c>
      <c r="H14" s="738">
        <v>0</v>
      </c>
      <c r="I14" s="738">
        <v>1</v>
      </c>
      <c r="J14" s="738">
        <v>1</v>
      </c>
      <c r="K14" s="738">
        <v>1</v>
      </c>
      <c r="L14" s="738">
        <v>0</v>
      </c>
      <c r="M14" s="738">
        <v>0</v>
      </c>
      <c r="N14" s="738">
        <v>0</v>
      </c>
      <c r="O14" s="671"/>
      <c r="P14" s="390"/>
      <c r="Q14" s="390"/>
    </row>
    <row r="15" spans="1:17" ht="22.5" customHeight="1">
      <c r="A15" s="502" t="s">
        <v>9</v>
      </c>
      <c r="B15" s="395" t="s">
        <v>135</v>
      </c>
      <c r="C15" s="735">
        <v>1</v>
      </c>
      <c r="D15" s="736">
        <v>0</v>
      </c>
      <c r="E15" s="737">
        <v>0</v>
      </c>
      <c r="F15" s="738">
        <v>0</v>
      </c>
      <c r="G15" s="738">
        <v>0</v>
      </c>
      <c r="H15" s="738">
        <v>0</v>
      </c>
      <c r="I15" s="738">
        <v>0</v>
      </c>
      <c r="J15" s="738">
        <v>1</v>
      </c>
      <c r="K15" s="738">
        <v>0</v>
      </c>
      <c r="L15" s="738">
        <v>0</v>
      </c>
      <c r="M15" s="738">
        <v>0</v>
      </c>
      <c r="N15" s="738">
        <v>0</v>
      </c>
      <c r="O15" s="671"/>
      <c r="P15" s="390"/>
      <c r="Q15" s="390"/>
    </row>
    <row r="16" spans="1:16" ht="22.5" customHeight="1">
      <c r="A16" s="502" t="s">
        <v>136</v>
      </c>
      <c r="B16" s="395" t="s">
        <v>137</v>
      </c>
      <c r="C16" s="739">
        <v>9058</v>
      </c>
      <c r="D16" s="739">
        <v>1241</v>
      </c>
      <c r="E16" s="739">
        <v>5425</v>
      </c>
      <c r="F16" s="739">
        <v>2363</v>
      </c>
      <c r="G16" s="739">
        <v>3062</v>
      </c>
      <c r="H16" s="739">
        <v>11</v>
      </c>
      <c r="I16" s="739">
        <v>1544</v>
      </c>
      <c r="J16" s="739">
        <v>771</v>
      </c>
      <c r="K16" s="739">
        <v>29</v>
      </c>
      <c r="L16" s="739">
        <v>36</v>
      </c>
      <c r="M16" s="739">
        <v>0</v>
      </c>
      <c r="N16" s="740">
        <v>1</v>
      </c>
      <c r="O16" s="672"/>
      <c r="P16" s="390"/>
    </row>
    <row r="17" spans="1:16" ht="22.5" customHeight="1">
      <c r="A17" s="502" t="s">
        <v>52</v>
      </c>
      <c r="B17" s="431" t="s">
        <v>138</v>
      </c>
      <c r="C17" s="735">
        <v>3845</v>
      </c>
      <c r="D17" s="735">
        <v>732</v>
      </c>
      <c r="E17" s="735">
        <v>1182</v>
      </c>
      <c r="F17" s="735">
        <v>330</v>
      </c>
      <c r="G17" s="735">
        <v>852</v>
      </c>
      <c r="H17" s="735">
        <v>7</v>
      </c>
      <c r="I17" s="735">
        <v>1426</v>
      </c>
      <c r="J17" s="735">
        <v>448</v>
      </c>
      <c r="K17" s="735">
        <v>13</v>
      </c>
      <c r="L17" s="735">
        <v>36</v>
      </c>
      <c r="M17" s="735">
        <v>0</v>
      </c>
      <c r="N17" s="735">
        <v>1</v>
      </c>
      <c r="O17" s="670"/>
      <c r="P17" s="390"/>
    </row>
    <row r="18" spans="1:16" ht="22.5" customHeight="1">
      <c r="A18" s="501" t="s">
        <v>54</v>
      </c>
      <c r="B18" s="430" t="s">
        <v>139</v>
      </c>
      <c r="C18" s="735">
        <v>1624</v>
      </c>
      <c r="D18" s="741">
        <v>160</v>
      </c>
      <c r="E18" s="737">
        <v>292</v>
      </c>
      <c r="F18" s="742">
        <v>58</v>
      </c>
      <c r="G18" s="742">
        <v>234</v>
      </c>
      <c r="H18" s="742">
        <v>2</v>
      </c>
      <c r="I18" s="742">
        <v>1075</v>
      </c>
      <c r="J18" s="742">
        <v>68</v>
      </c>
      <c r="K18" s="742">
        <v>2</v>
      </c>
      <c r="L18" s="742">
        <v>25</v>
      </c>
      <c r="M18" s="742">
        <v>0</v>
      </c>
      <c r="N18" s="742">
        <v>0</v>
      </c>
      <c r="O18" s="671"/>
      <c r="P18" s="390"/>
    </row>
    <row r="19" spans="1:16" ht="20.25" customHeight="1">
      <c r="A19" s="501" t="s">
        <v>55</v>
      </c>
      <c r="B19" s="430" t="s">
        <v>140</v>
      </c>
      <c r="C19" s="735">
        <v>39</v>
      </c>
      <c r="D19" s="741">
        <v>3</v>
      </c>
      <c r="E19" s="737">
        <v>35</v>
      </c>
      <c r="F19" s="742">
        <v>12</v>
      </c>
      <c r="G19" s="742">
        <v>23</v>
      </c>
      <c r="H19" s="742">
        <v>0</v>
      </c>
      <c r="I19" s="742">
        <v>1</v>
      </c>
      <c r="J19" s="742">
        <v>0</v>
      </c>
      <c r="K19" s="742">
        <v>0</v>
      </c>
      <c r="L19" s="742">
        <v>0</v>
      </c>
      <c r="M19" s="742">
        <v>0</v>
      </c>
      <c r="N19" s="742">
        <v>0</v>
      </c>
      <c r="O19" s="671"/>
      <c r="P19" s="390"/>
    </row>
    <row r="20" spans="1:25" ht="21" customHeight="1">
      <c r="A20" s="501" t="s">
        <v>141</v>
      </c>
      <c r="B20" s="430" t="s">
        <v>142</v>
      </c>
      <c r="C20" s="735">
        <v>2172</v>
      </c>
      <c r="D20" s="741">
        <v>564</v>
      </c>
      <c r="E20" s="737">
        <v>854</v>
      </c>
      <c r="F20" s="742">
        <v>259</v>
      </c>
      <c r="G20" s="742">
        <v>595</v>
      </c>
      <c r="H20" s="742">
        <v>5</v>
      </c>
      <c r="I20" s="742">
        <v>350</v>
      </c>
      <c r="J20" s="742">
        <v>376</v>
      </c>
      <c r="K20" s="742">
        <v>11</v>
      </c>
      <c r="L20" s="742">
        <v>11</v>
      </c>
      <c r="M20" s="742">
        <v>0</v>
      </c>
      <c r="N20" s="742">
        <v>1</v>
      </c>
      <c r="O20" s="671"/>
      <c r="P20" s="671"/>
      <c r="Q20" s="671"/>
      <c r="R20" s="671"/>
      <c r="S20" s="671"/>
      <c r="T20" s="671"/>
      <c r="U20" s="671"/>
      <c r="V20" s="671">
        <f>SUM(K20:K25)</f>
        <v>27</v>
      </c>
      <c r="W20" s="671">
        <f>SUM(L20:L25)</f>
        <v>11</v>
      </c>
      <c r="X20" s="671">
        <f>SUM(M20:M25)</f>
        <v>0</v>
      </c>
      <c r="Y20" s="671">
        <f>SUM(N20:N25)</f>
        <v>1</v>
      </c>
    </row>
    <row r="21" spans="1:25" ht="21" customHeight="1">
      <c r="A21" s="501" t="s">
        <v>143</v>
      </c>
      <c r="B21" s="430" t="s">
        <v>144</v>
      </c>
      <c r="C21" s="735">
        <v>1</v>
      </c>
      <c r="D21" s="741">
        <v>0</v>
      </c>
      <c r="E21" s="737">
        <v>0</v>
      </c>
      <c r="F21" s="742">
        <v>0</v>
      </c>
      <c r="G21" s="742">
        <v>0</v>
      </c>
      <c r="H21" s="742">
        <v>0</v>
      </c>
      <c r="I21" s="742">
        <v>0</v>
      </c>
      <c r="J21" s="742">
        <v>1</v>
      </c>
      <c r="K21" s="742">
        <v>0</v>
      </c>
      <c r="L21" s="742">
        <v>0</v>
      </c>
      <c r="M21" s="742">
        <v>0</v>
      </c>
      <c r="N21" s="742">
        <v>0</v>
      </c>
      <c r="O21" s="671"/>
      <c r="P21" s="671"/>
      <c r="Q21" s="671"/>
      <c r="R21" s="671"/>
      <c r="S21" s="671"/>
      <c r="T21" s="671"/>
      <c r="U21" s="671"/>
      <c r="V21" s="671">
        <f>'02'!K20+'02'!K21+'02'!K22+'02'!K23+'02'!K24+'02'!K25</f>
        <v>11</v>
      </c>
      <c r="W21" s="671">
        <f>'02'!L20+'02'!L21+'02'!L22+'02'!L23+'02'!L24+'02'!L25</f>
        <v>0</v>
      </c>
      <c r="X21" s="671">
        <f>'02'!M20+'02'!M21+'02'!M22+'02'!M23+'02'!M24+'02'!M25</f>
        <v>2</v>
      </c>
      <c r="Y21" s="671">
        <f>'02'!N20+'02'!N21+'02'!N22+'02'!N23+'02'!N24+'02'!N25</f>
        <v>0</v>
      </c>
    </row>
    <row r="22" spans="1:26" ht="21" customHeight="1">
      <c r="A22" s="501" t="s">
        <v>145</v>
      </c>
      <c r="B22" s="430" t="s">
        <v>146</v>
      </c>
      <c r="C22" s="735">
        <v>3</v>
      </c>
      <c r="D22" s="741">
        <v>1</v>
      </c>
      <c r="E22" s="737">
        <v>0</v>
      </c>
      <c r="F22" s="742">
        <v>0</v>
      </c>
      <c r="G22" s="742">
        <v>0</v>
      </c>
      <c r="H22" s="742">
        <v>0</v>
      </c>
      <c r="I22" s="742">
        <v>0</v>
      </c>
      <c r="J22" s="742">
        <v>2</v>
      </c>
      <c r="K22" s="742">
        <v>0</v>
      </c>
      <c r="L22" s="742">
        <v>0</v>
      </c>
      <c r="M22" s="742">
        <v>0</v>
      </c>
      <c r="N22" s="742">
        <v>0</v>
      </c>
      <c r="O22" s="671"/>
      <c r="P22" s="671"/>
      <c r="Q22" s="671"/>
      <c r="R22" s="671"/>
      <c r="S22" s="671"/>
      <c r="T22" s="671"/>
      <c r="U22" s="671"/>
      <c r="V22" s="671">
        <f>V20+V21</f>
        <v>38</v>
      </c>
      <c r="W22" s="671">
        <f>W20+W21</f>
        <v>11</v>
      </c>
      <c r="X22" s="671">
        <f>X20+X21</f>
        <v>2</v>
      </c>
      <c r="Y22" s="671">
        <f>Y20+Y21</f>
        <v>1</v>
      </c>
      <c r="Z22" s="388">
        <f>SUM(O22:Y22)</f>
        <v>52</v>
      </c>
    </row>
    <row r="23" spans="1:16" ht="25.5">
      <c r="A23" s="501" t="s">
        <v>147</v>
      </c>
      <c r="B23" s="432" t="s">
        <v>148</v>
      </c>
      <c r="C23" s="735">
        <v>0</v>
      </c>
      <c r="D23" s="741">
        <v>0</v>
      </c>
      <c r="E23" s="737">
        <v>0</v>
      </c>
      <c r="F23" s="742">
        <v>0</v>
      </c>
      <c r="G23" s="742">
        <v>0</v>
      </c>
      <c r="H23" s="742">
        <v>0</v>
      </c>
      <c r="I23" s="742">
        <v>0</v>
      </c>
      <c r="J23" s="742">
        <v>0</v>
      </c>
      <c r="K23" s="742">
        <v>0</v>
      </c>
      <c r="L23" s="742">
        <v>0</v>
      </c>
      <c r="M23" s="742">
        <v>0</v>
      </c>
      <c r="N23" s="742">
        <v>0</v>
      </c>
      <c r="O23" s="671"/>
      <c r="P23" s="390"/>
    </row>
    <row r="24" spans="1:16" ht="21" customHeight="1">
      <c r="A24" s="501" t="s">
        <v>149</v>
      </c>
      <c r="B24" s="430" t="s">
        <v>150</v>
      </c>
      <c r="C24" s="735">
        <v>6</v>
      </c>
      <c r="D24" s="741">
        <v>4</v>
      </c>
      <c r="E24" s="737">
        <v>1</v>
      </c>
      <c r="F24" s="742">
        <v>1</v>
      </c>
      <c r="G24" s="742">
        <v>0</v>
      </c>
      <c r="H24" s="742">
        <v>0</v>
      </c>
      <c r="I24" s="742">
        <v>0</v>
      </c>
      <c r="J24" s="742">
        <v>1</v>
      </c>
      <c r="K24" s="742">
        <v>0</v>
      </c>
      <c r="L24" s="742">
        <v>0</v>
      </c>
      <c r="M24" s="742">
        <v>0</v>
      </c>
      <c r="N24" s="742">
        <v>0</v>
      </c>
      <c r="O24" s="671"/>
      <c r="P24" s="390"/>
    </row>
    <row r="25" spans="1:16" ht="21" customHeight="1">
      <c r="A25" s="502" t="s">
        <v>53</v>
      </c>
      <c r="B25" s="395" t="s">
        <v>151</v>
      </c>
      <c r="C25" s="735">
        <v>5213</v>
      </c>
      <c r="D25" s="741">
        <v>509</v>
      </c>
      <c r="E25" s="737">
        <v>4243</v>
      </c>
      <c r="F25" s="742">
        <v>2033</v>
      </c>
      <c r="G25" s="742">
        <v>2210</v>
      </c>
      <c r="H25" s="742">
        <v>4</v>
      </c>
      <c r="I25" s="742">
        <v>118</v>
      </c>
      <c r="J25" s="742">
        <v>323</v>
      </c>
      <c r="K25" s="742">
        <v>16</v>
      </c>
      <c r="L25" s="742">
        <v>0</v>
      </c>
      <c r="M25" s="742">
        <v>0</v>
      </c>
      <c r="N25" s="742">
        <v>0</v>
      </c>
      <c r="O25" s="671"/>
      <c r="P25" s="390"/>
    </row>
    <row r="26" spans="1:16" s="413" customFormat="1" ht="26.25">
      <c r="A26" s="502" t="s">
        <v>555</v>
      </c>
      <c r="B26" s="433" t="s">
        <v>152</v>
      </c>
      <c r="C26" s="696">
        <f>(C18+C19)/C17*100</f>
        <v>43.25097529258778</v>
      </c>
      <c r="D26" s="696">
        <f aca="true" t="shared" si="0" ref="D26:N26">(D18+D19)/D17*100</f>
        <v>22.26775956284153</v>
      </c>
      <c r="E26" s="696">
        <f t="shared" si="0"/>
        <v>27.66497461928934</v>
      </c>
      <c r="F26" s="696">
        <f t="shared" si="0"/>
        <v>21.21212121212121</v>
      </c>
      <c r="G26" s="696">
        <f t="shared" si="0"/>
        <v>30.164319248826292</v>
      </c>
      <c r="H26" s="696">
        <f t="shared" si="0"/>
        <v>28.57142857142857</v>
      </c>
      <c r="I26" s="696">
        <f t="shared" si="0"/>
        <v>75.45582047685835</v>
      </c>
      <c r="J26" s="696">
        <f t="shared" si="0"/>
        <v>15.178571428571427</v>
      </c>
      <c r="K26" s="696">
        <f t="shared" si="0"/>
        <v>15.384615384615385</v>
      </c>
      <c r="L26" s="696">
        <f t="shared" si="0"/>
        <v>69.44444444444444</v>
      </c>
      <c r="M26" s="696" t="e">
        <f t="shared" si="0"/>
        <v>#DIV/0!</v>
      </c>
      <c r="N26" s="696">
        <f t="shared" si="0"/>
        <v>0</v>
      </c>
      <c r="O26" s="673"/>
      <c r="P26" s="390"/>
    </row>
  </sheetData>
  <sheetProtection/>
  <mergeCells count="25">
    <mergeCell ref="P8:Q8"/>
    <mergeCell ref="J7:J9"/>
    <mergeCell ref="K7:K9"/>
    <mergeCell ref="F8:G8"/>
    <mergeCell ref="H7:H9"/>
    <mergeCell ref="A10:B10"/>
    <mergeCell ref="M7:M9"/>
    <mergeCell ref="N7:N9"/>
    <mergeCell ref="E8:E9"/>
    <mergeCell ref="L7:L9"/>
    <mergeCell ref="A1:B1"/>
    <mergeCell ref="D1:K1"/>
    <mergeCell ref="L1:N1"/>
    <mergeCell ref="D2:K2"/>
    <mergeCell ref="L2:N2"/>
    <mergeCell ref="A6:B9"/>
    <mergeCell ref="C6:C9"/>
    <mergeCell ref="D6:N6"/>
    <mergeCell ref="D7:D9"/>
    <mergeCell ref="E7:G7"/>
    <mergeCell ref="L3:N3"/>
    <mergeCell ref="L4:N4"/>
    <mergeCell ref="L5:N5"/>
    <mergeCell ref="I7:I9"/>
    <mergeCell ref="D3:K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13">
      <selection activeCell="D29" sqref="D29"/>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51" t="s">
        <v>182</v>
      </c>
      <c r="B1" s="1252"/>
      <c r="C1" s="1252"/>
    </row>
    <row r="2" spans="1:3" ht="21.75" customHeight="1">
      <c r="A2" s="1253" t="s">
        <v>70</v>
      </c>
      <c r="B2" s="1253"/>
      <c r="C2" s="497" t="s">
        <v>341</v>
      </c>
    </row>
    <row r="3" spans="1:3" ht="21.75" customHeight="1">
      <c r="A3" s="1254" t="s">
        <v>6</v>
      </c>
      <c r="B3" s="1254"/>
      <c r="C3" s="5">
        <v>1</v>
      </c>
    </row>
    <row r="4" spans="1:3" ht="17.25" customHeight="1">
      <c r="A4" s="397" t="s">
        <v>52</v>
      </c>
      <c r="B4" s="513" t="s">
        <v>566</v>
      </c>
      <c r="C4" s="498">
        <f>SUM(C5:C11)</f>
        <v>1</v>
      </c>
    </row>
    <row r="5" spans="1:3" s="6" customFormat="1" ht="17.25" customHeight="1">
      <c r="A5" s="5" t="s">
        <v>54</v>
      </c>
      <c r="B5" s="514" t="s">
        <v>153</v>
      </c>
      <c r="C5" s="39">
        <v>0</v>
      </c>
    </row>
    <row r="6" spans="1:3" s="6" customFormat="1" ht="17.25" customHeight="1">
      <c r="A6" s="5" t="s">
        <v>55</v>
      </c>
      <c r="B6" s="514" t="s">
        <v>154</v>
      </c>
      <c r="C6" s="39">
        <v>0</v>
      </c>
    </row>
    <row r="7" spans="1:3" s="6" customFormat="1" ht="17.25" customHeight="1">
      <c r="A7" s="5" t="s">
        <v>141</v>
      </c>
      <c r="B7" s="514" t="s">
        <v>155</v>
      </c>
      <c r="C7" s="39">
        <v>0</v>
      </c>
    </row>
    <row r="8" spans="1:3" s="6" customFormat="1" ht="17.25" customHeight="1">
      <c r="A8" s="5" t="s">
        <v>143</v>
      </c>
      <c r="B8" s="514" t="s">
        <v>156</v>
      </c>
      <c r="C8" s="39">
        <v>1</v>
      </c>
    </row>
    <row r="9" spans="1:3" s="6" customFormat="1" ht="17.25" customHeight="1">
      <c r="A9" s="5" t="s">
        <v>145</v>
      </c>
      <c r="B9" s="514" t="s">
        <v>157</v>
      </c>
      <c r="C9" s="39"/>
    </row>
    <row r="10" spans="1:3" s="6" customFormat="1" ht="17.25" customHeight="1">
      <c r="A10" s="5" t="s">
        <v>147</v>
      </c>
      <c r="B10" s="514" t="s">
        <v>158</v>
      </c>
      <c r="C10" s="39"/>
    </row>
    <row r="11" spans="1:3" s="6" customFormat="1" ht="17.25" customHeight="1">
      <c r="A11" s="5" t="s">
        <v>149</v>
      </c>
      <c r="B11" s="514" t="s">
        <v>160</v>
      </c>
      <c r="C11" s="39"/>
    </row>
    <row r="12" spans="1:3" s="32" customFormat="1" ht="17.25" customHeight="1">
      <c r="A12" s="397" t="s">
        <v>53</v>
      </c>
      <c r="B12" s="513" t="s">
        <v>565</v>
      </c>
      <c r="C12" s="498">
        <f>SUM(C13:C14)</f>
        <v>3</v>
      </c>
    </row>
    <row r="13" spans="1:3" s="6" customFormat="1" ht="17.25" customHeight="1">
      <c r="A13" s="5" t="s">
        <v>56</v>
      </c>
      <c r="B13" s="514" t="s">
        <v>159</v>
      </c>
      <c r="C13" s="39">
        <v>3</v>
      </c>
    </row>
    <row r="14" spans="1:3" ht="17.25" customHeight="1">
      <c r="A14" s="5" t="s">
        <v>57</v>
      </c>
      <c r="B14" s="514" t="s">
        <v>160</v>
      </c>
      <c r="C14" s="39">
        <v>0</v>
      </c>
    </row>
    <row r="15" spans="1:3" ht="17.25" customHeight="1">
      <c r="A15" s="397" t="s">
        <v>58</v>
      </c>
      <c r="B15" s="513" t="s">
        <v>150</v>
      </c>
      <c r="C15" s="498">
        <f>SUM(C16:C18)</f>
        <v>6</v>
      </c>
    </row>
    <row r="16" spans="1:3" ht="17.25" customHeight="1">
      <c r="A16" s="5" t="s">
        <v>161</v>
      </c>
      <c r="B16" s="511" t="s">
        <v>162</v>
      </c>
      <c r="C16" s="39">
        <v>4</v>
      </c>
    </row>
    <row r="17" spans="1:3" s="6" customFormat="1" ht="30">
      <c r="A17" s="5" t="s">
        <v>163</v>
      </c>
      <c r="B17" s="514" t="s">
        <v>164</v>
      </c>
      <c r="C17" s="39">
        <v>2</v>
      </c>
    </row>
    <row r="18" spans="1:3" s="6" customFormat="1" ht="17.25" customHeight="1">
      <c r="A18" s="5" t="s">
        <v>165</v>
      </c>
      <c r="B18" s="514" t="s">
        <v>166</v>
      </c>
      <c r="C18" s="39">
        <v>0</v>
      </c>
    </row>
    <row r="19" spans="1:4" s="6" customFormat="1" ht="17.25" customHeight="1">
      <c r="A19" s="397" t="s">
        <v>73</v>
      </c>
      <c r="B19" s="513" t="s">
        <v>564</v>
      </c>
      <c r="C19" s="498">
        <f>SUM(C20:C25)</f>
        <v>39</v>
      </c>
      <c r="D19" s="680"/>
    </row>
    <row r="20" spans="1:3" s="6" customFormat="1" ht="17.25" customHeight="1">
      <c r="A20" s="5" t="s">
        <v>167</v>
      </c>
      <c r="B20" s="514" t="s">
        <v>168</v>
      </c>
      <c r="C20" s="39">
        <v>13</v>
      </c>
    </row>
    <row r="21" spans="1:3" s="6" customFormat="1" ht="17.25" customHeight="1">
      <c r="A21" s="5" t="s">
        <v>169</v>
      </c>
      <c r="B21" s="514" t="s">
        <v>170</v>
      </c>
      <c r="C21" s="39">
        <v>0</v>
      </c>
    </row>
    <row r="22" spans="1:3" s="6" customFormat="1" ht="17.25" customHeight="1">
      <c r="A22" s="5" t="s">
        <v>171</v>
      </c>
      <c r="B22" s="514" t="s">
        <v>172</v>
      </c>
      <c r="C22" s="39">
        <v>1</v>
      </c>
    </row>
    <row r="23" spans="1:3" s="6" customFormat="1" ht="17.25" customHeight="1">
      <c r="A23" s="5" t="s">
        <v>173</v>
      </c>
      <c r="B23" s="514" t="s">
        <v>156</v>
      </c>
      <c r="C23" s="39">
        <v>0</v>
      </c>
    </row>
    <row r="24" spans="1:3" s="6" customFormat="1" ht="17.25" customHeight="1">
      <c r="A24" s="5" t="s">
        <v>174</v>
      </c>
      <c r="B24" s="514" t="s">
        <v>157</v>
      </c>
      <c r="C24" s="39">
        <v>25</v>
      </c>
    </row>
    <row r="25" spans="1:3" s="6" customFormat="1" ht="17.25" customHeight="1">
      <c r="A25" s="5" t="s">
        <v>175</v>
      </c>
      <c r="B25" s="514" t="s">
        <v>176</v>
      </c>
      <c r="C25" s="39">
        <v>0</v>
      </c>
    </row>
    <row r="26" spans="1:3" s="6" customFormat="1" ht="17.25" customHeight="1">
      <c r="A26" s="397" t="s">
        <v>74</v>
      </c>
      <c r="B26" s="513" t="s">
        <v>563</v>
      </c>
      <c r="C26" s="498">
        <f>SUM(C27:C29)</f>
        <v>5213</v>
      </c>
    </row>
    <row r="27" spans="1:3" s="6" customFormat="1" ht="17.25" customHeight="1">
      <c r="A27" s="5" t="s">
        <v>177</v>
      </c>
      <c r="B27" s="514" t="s">
        <v>168</v>
      </c>
      <c r="C27" s="39">
        <v>3488</v>
      </c>
    </row>
    <row r="28" spans="1:3" ht="17.25" customHeight="1">
      <c r="A28" s="5" t="s">
        <v>178</v>
      </c>
      <c r="B28" s="514" t="s">
        <v>170</v>
      </c>
      <c r="C28" s="39">
        <v>1</v>
      </c>
    </row>
    <row r="29" spans="1:3" s="6" customFormat="1" ht="17.25" customHeight="1">
      <c r="A29" s="5" t="s">
        <v>179</v>
      </c>
      <c r="B29" s="514" t="s">
        <v>180</v>
      </c>
      <c r="C29" s="39">
        <v>1724</v>
      </c>
    </row>
    <row r="30" spans="1:3" ht="30.75" customHeight="1">
      <c r="A30" s="35"/>
      <c r="B30" s="407"/>
      <c r="C30" s="512" t="str">
        <f>'Thong tin'!B8</f>
        <v>Hải Phòng, ngày 04 tháng 01 năm 2018</v>
      </c>
    </row>
    <row r="31" spans="1:3" ht="22.5" customHeight="1">
      <c r="A31" s="35"/>
      <c r="B31" s="408" t="s">
        <v>4</v>
      </c>
      <c r="C31" s="509" t="str">
        <f>'Thong tin'!B7</f>
        <v>
PHÓ CỤC TRƯỞNG</v>
      </c>
    </row>
    <row r="32" spans="2:3" s="36" customFormat="1" ht="18.75">
      <c r="B32" s="504"/>
      <c r="C32" s="405"/>
    </row>
    <row r="33" spans="2:3" ht="15.75" customHeight="1">
      <c r="B33" s="437"/>
      <c r="C33" s="406"/>
    </row>
    <row r="34" spans="2:3" ht="15.75" customHeight="1">
      <c r="B34" s="437"/>
      <c r="C34" s="405"/>
    </row>
    <row r="35" spans="2:3" ht="15.75" customHeight="1">
      <c r="B35" s="437"/>
      <c r="C35" s="406"/>
    </row>
    <row r="36" spans="2:3" ht="15.75" customHeight="1">
      <c r="B36" s="437"/>
      <c r="C36" s="406"/>
    </row>
    <row r="37" spans="2:3" ht="18.75">
      <c r="B37" s="505" t="str">
        <f>'Thong tin'!B5</f>
        <v>Trần Thị Minh</v>
      </c>
      <c r="C37" s="505" t="str">
        <f>'Thong tin'!B6</f>
        <v>Nguyễn Thị Mai Hoa</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245" t="s">
        <v>182</v>
      </c>
      <c r="B44" s="1246"/>
      <c r="C44" s="1246"/>
    </row>
    <row r="45" spans="1:3" ht="18.75" hidden="1">
      <c r="A45" s="1249" t="s">
        <v>70</v>
      </c>
      <c r="B45" s="1250"/>
      <c r="C45" s="387" t="s">
        <v>341</v>
      </c>
    </row>
    <row r="46" spans="1:3" ht="15.75" hidden="1">
      <c r="A46" s="1247" t="s">
        <v>6</v>
      </c>
      <c r="B46" s="1248"/>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45" t="s">
        <v>182</v>
      </c>
      <c r="B82" s="1246"/>
      <c r="C82" s="1246"/>
    </row>
    <row r="83" spans="1:3" ht="18.75" hidden="1">
      <c r="A83" s="1249" t="s">
        <v>70</v>
      </c>
      <c r="B83" s="1250"/>
      <c r="C83" s="387" t="s">
        <v>341</v>
      </c>
    </row>
    <row r="84" spans="1:3" ht="24.75" customHeight="1" hidden="1">
      <c r="A84" s="1247" t="s">
        <v>6</v>
      </c>
      <c r="B84" s="1248"/>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45" t="s">
        <v>182</v>
      </c>
      <c r="B120" s="1246"/>
      <c r="C120" s="1246"/>
    </row>
    <row r="121" spans="1:3" ht="18.75" hidden="1">
      <c r="A121" s="1249" t="s">
        <v>70</v>
      </c>
      <c r="B121" s="1250"/>
      <c r="C121" s="387" t="s">
        <v>341</v>
      </c>
    </row>
    <row r="122" spans="1:3" ht="15.75" hidden="1">
      <c r="A122" s="1247" t="s">
        <v>6</v>
      </c>
      <c r="B122" s="1248"/>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45" t="s">
        <v>182</v>
      </c>
      <c r="B160" s="1246"/>
      <c r="C160" s="1246"/>
    </row>
    <row r="161" spans="1:3" ht="18.75" hidden="1">
      <c r="A161" s="1249" t="s">
        <v>70</v>
      </c>
      <c r="B161" s="1250"/>
      <c r="C161" s="387" t="s">
        <v>341</v>
      </c>
    </row>
    <row r="162" spans="1:3" ht="15.75" hidden="1">
      <c r="A162" s="1247" t="s">
        <v>6</v>
      </c>
      <c r="B162" s="1248"/>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45" t="s">
        <v>182</v>
      </c>
      <c r="B199" s="1246"/>
      <c r="C199" s="1246"/>
    </row>
    <row r="200" spans="1:3" ht="18.75" hidden="1">
      <c r="A200" s="1249" t="s">
        <v>70</v>
      </c>
      <c r="B200" s="1250"/>
      <c r="C200" s="387" t="s">
        <v>341</v>
      </c>
    </row>
    <row r="201" spans="1:3" ht="15.75" hidden="1">
      <c r="A201" s="1247" t="s">
        <v>6</v>
      </c>
      <c r="B201" s="1248"/>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45" t="s">
        <v>182</v>
      </c>
      <c r="B237" s="1246"/>
      <c r="C237" s="1246"/>
    </row>
    <row r="238" spans="1:3" ht="18.75" hidden="1">
      <c r="A238" s="1249" t="s">
        <v>70</v>
      </c>
      <c r="B238" s="1250"/>
      <c r="C238" s="387" t="s">
        <v>341</v>
      </c>
    </row>
    <row r="239" spans="1:3" ht="15.75" hidden="1">
      <c r="A239" s="1247" t="s">
        <v>6</v>
      </c>
      <c r="B239" s="1248"/>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45" t="s">
        <v>182</v>
      </c>
      <c r="B277" s="1246"/>
      <c r="C277" s="1246"/>
    </row>
    <row r="278" spans="1:3" ht="18.75" hidden="1">
      <c r="A278" s="1249" t="s">
        <v>70</v>
      </c>
      <c r="B278" s="1250"/>
      <c r="C278" s="387" t="s">
        <v>341</v>
      </c>
    </row>
    <row r="279" spans="1:3" ht="15.75" hidden="1">
      <c r="A279" s="1247" t="s">
        <v>6</v>
      </c>
      <c r="B279" s="1248"/>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45" t="s">
        <v>182</v>
      </c>
      <c r="B315" s="1246"/>
      <c r="C315" s="1246"/>
    </row>
    <row r="316" spans="1:3" ht="18.75" hidden="1">
      <c r="A316" s="1249" t="s">
        <v>70</v>
      </c>
      <c r="B316" s="1250"/>
      <c r="C316" s="387" t="s">
        <v>341</v>
      </c>
    </row>
    <row r="317" spans="1:3" ht="15.75" hidden="1">
      <c r="A317" s="1247" t="s">
        <v>6</v>
      </c>
      <c r="B317" s="1248"/>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45" t="s">
        <v>182</v>
      </c>
      <c r="B352" s="1246"/>
      <c r="C352" s="1246"/>
    </row>
    <row r="353" spans="1:3" ht="18.75" hidden="1">
      <c r="A353" s="1249" t="s">
        <v>70</v>
      </c>
      <c r="B353" s="1250"/>
      <c r="C353" s="387" t="s">
        <v>341</v>
      </c>
    </row>
    <row r="354" spans="1:3" ht="15.75" hidden="1">
      <c r="A354" s="1247" t="s">
        <v>6</v>
      </c>
      <c r="B354" s="1248"/>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45" t="s">
        <v>182</v>
      </c>
      <c r="B394" s="1246"/>
      <c r="C394" s="1246"/>
    </row>
    <row r="395" spans="1:3" ht="18.75" hidden="1">
      <c r="A395" s="1249" t="s">
        <v>70</v>
      </c>
      <c r="B395" s="1250"/>
      <c r="C395" s="387" t="s">
        <v>341</v>
      </c>
    </row>
    <row r="396" spans="1:3" ht="15.75" hidden="1">
      <c r="A396" s="1247" t="s">
        <v>6</v>
      </c>
      <c r="B396" s="1248"/>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245" t="s">
        <v>182</v>
      </c>
      <c r="B430" s="1246"/>
      <c r="C430" s="1246"/>
    </row>
    <row r="431" spans="1:3" ht="18.75" hidden="1">
      <c r="A431" s="1249" t="s">
        <v>70</v>
      </c>
      <c r="B431" s="1250"/>
      <c r="C431" s="387" t="s">
        <v>341</v>
      </c>
    </row>
    <row r="432" spans="1:3" ht="15.75" hidden="1">
      <c r="A432" s="1247" t="s">
        <v>6</v>
      </c>
      <c r="B432" s="1248"/>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45" t="s">
        <v>182</v>
      </c>
      <c r="B470" s="1246"/>
      <c r="C470" s="1246"/>
    </row>
    <row r="471" spans="1:3" ht="18.75" hidden="1">
      <c r="A471" s="1249" t="s">
        <v>70</v>
      </c>
      <c r="B471" s="1250"/>
      <c r="C471" s="387" t="s">
        <v>341</v>
      </c>
    </row>
    <row r="472" spans="1:3" ht="15.75" hidden="1">
      <c r="A472" s="1247" t="s">
        <v>6</v>
      </c>
      <c r="B472" s="1248"/>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1:C1"/>
    <mergeCell ref="A2:B2"/>
    <mergeCell ref="A121:B121"/>
    <mergeCell ref="A82:C82"/>
    <mergeCell ref="A44:C44"/>
    <mergeCell ref="A45:B45"/>
    <mergeCell ref="A46:B46"/>
    <mergeCell ref="A3:B3"/>
    <mergeCell ref="A120:C120"/>
    <mergeCell ref="A84:B84"/>
    <mergeCell ref="A238:B238"/>
    <mergeCell ref="A239:B239"/>
    <mergeCell ref="A237:C237"/>
    <mergeCell ref="A199:C199"/>
    <mergeCell ref="A200:B200"/>
    <mergeCell ref="A201:B201"/>
    <mergeCell ref="A161:B161"/>
    <mergeCell ref="A83:B83"/>
    <mergeCell ref="A354:B354"/>
    <mergeCell ref="A122:B122"/>
    <mergeCell ref="A160:C160"/>
    <mergeCell ref="A162:B162"/>
    <mergeCell ref="A277:C277"/>
    <mergeCell ref="A353:B353"/>
    <mergeCell ref="A278:B278"/>
    <mergeCell ref="A317:B317"/>
    <mergeCell ref="A472:B472"/>
    <mergeCell ref="A431:B431"/>
    <mergeCell ref="A432:B432"/>
    <mergeCell ref="A470:C470"/>
    <mergeCell ref="A471:B471"/>
    <mergeCell ref="A396:B396"/>
    <mergeCell ref="A430:C430"/>
    <mergeCell ref="A394:C394"/>
    <mergeCell ref="A352:C352"/>
    <mergeCell ref="A279:B279"/>
    <mergeCell ref="A316:B316"/>
    <mergeCell ref="A395:B395"/>
    <mergeCell ref="A315:C315"/>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7">
      <selection activeCell="C11" sqref="C11:O25"/>
    </sheetView>
  </sheetViews>
  <sheetFormatPr defaultColWidth="9.00390625" defaultRowHeight="15.75"/>
  <cols>
    <col min="1" max="1" width="4.875" style="436"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240" t="s">
        <v>30</v>
      </c>
      <c r="B1" s="1240"/>
      <c r="C1" s="414"/>
      <c r="D1" s="1241" t="s">
        <v>82</v>
      </c>
      <c r="E1" s="1241"/>
      <c r="F1" s="1241"/>
      <c r="G1" s="1241"/>
      <c r="H1" s="1241"/>
      <c r="I1" s="1241"/>
      <c r="J1" s="1241"/>
      <c r="K1" s="1241"/>
      <c r="L1" s="1231" t="s">
        <v>557</v>
      </c>
      <c r="M1" s="1231"/>
      <c r="N1" s="1231"/>
      <c r="O1" s="1231"/>
    </row>
    <row r="2" spans="1:15" ht="16.5" customHeight="1">
      <c r="A2" s="416" t="s">
        <v>344</v>
      </c>
      <c r="B2" s="416"/>
      <c r="C2" s="416"/>
      <c r="D2" s="1241" t="s">
        <v>183</v>
      </c>
      <c r="E2" s="1241"/>
      <c r="F2" s="1241"/>
      <c r="G2" s="1241"/>
      <c r="H2" s="1241"/>
      <c r="I2" s="1241"/>
      <c r="J2" s="1241"/>
      <c r="K2" s="1241"/>
      <c r="L2" s="1232" t="str">
        <f>'Thong tin'!B4</f>
        <v>CTHADS Hải Phòng</v>
      </c>
      <c r="M2" s="1232"/>
      <c r="N2" s="1232"/>
      <c r="O2" s="1232"/>
    </row>
    <row r="3" spans="1:15" ht="16.5" customHeight="1">
      <c r="A3" s="416" t="s">
        <v>345</v>
      </c>
      <c r="B3" s="416"/>
      <c r="C3" s="416"/>
      <c r="D3" s="1236" t="str">
        <f>'Thong tin'!B3</f>
        <v>03 tháng / năm 2018</v>
      </c>
      <c r="E3" s="1236"/>
      <c r="F3" s="1236"/>
      <c r="G3" s="1236"/>
      <c r="H3" s="1236"/>
      <c r="I3" s="1236"/>
      <c r="J3" s="1236"/>
      <c r="K3" s="1236"/>
      <c r="L3" s="1231" t="s">
        <v>523</v>
      </c>
      <c r="M3" s="1231"/>
      <c r="N3" s="1231"/>
      <c r="O3" s="1231"/>
    </row>
    <row r="4" spans="1:15" ht="16.5" customHeight="1">
      <c r="A4" s="434" t="s">
        <v>119</v>
      </c>
      <c r="B4" s="434"/>
      <c r="C4" s="419"/>
      <c r="D4" s="420"/>
      <c r="E4" s="420"/>
      <c r="F4" s="419"/>
      <c r="G4" s="421"/>
      <c r="H4" s="421"/>
      <c r="I4" s="421"/>
      <c r="J4" s="419"/>
      <c r="K4" s="420"/>
      <c r="L4" s="1232" t="s">
        <v>412</v>
      </c>
      <c r="M4" s="1232"/>
      <c r="N4" s="1232"/>
      <c r="O4" s="1232"/>
    </row>
    <row r="5" spans="1:15" ht="16.5" customHeight="1">
      <c r="A5" s="422"/>
      <c r="B5" s="419"/>
      <c r="C5" s="419"/>
      <c r="D5" s="419"/>
      <c r="E5" s="419"/>
      <c r="F5" s="423"/>
      <c r="G5" s="424"/>
      <c r="H5" s="424"/>
      <c r="I5" s="424"/>
      <c r="J5" s="423"/>
      <c r="K5" s="425"/>
      <c r="L5" s="438"/>
      <c r="M5" s="438" t="s">
        <v>8</v>
      </c>
      <c r="N5" s="415"/>
      <c r="O5" s="415"/>
    </row>
    <row r="6" spans="1:15" ht="18.75" customHeight="1">
      <c r="A6" s="1223" t="s">
        <v>69</v>
      </c>
      <c r="B6" s="1223"/>
      <c r="C6" s="1223" t="s">
        <v>38</v>
      </c>
      <c r="D6" s="1223" t="s">
        <v>337</v>
      </c>
      <c r="E6" s="1223"/>
      <c r="F6" s="1223"/>
      <c r="G6" s="1223"/>
      <c r="H6" s="1223"/>
      <c r="I6" s="1223"/>
      <c r="J6" s="1223"/>
      <c r="K6" s="1223"/>
      <c r="L6" s="1223"/>
      <c r="M6" s="1223"/>
      <c r="N6" s="1223"/>
      <c r="O6" s="1223"/>
    </row>
    <row r="7" spans="1:15" ht="20.25" customHeight="1">
      <c r="A7" s="1223"/>
      <c r="B7" s="1223"/>
      <c r="C7" s="1223"/>
      <c r="D7" s="1256" t="s">
        <v>120</v>
      </c>
      <c r="E7" s="1255" t="s">
        <v>121</v>
      </c>
      <c r="F7" s="1255"/>
      <c r="G7" s="1255"/>
      <c r="H7" s="1255" t="s">
        <v>122</v>
      </c>
      <c r="I7" s="1255" t="s">
        <v>123</v>
      </c>
      <c r="J7" s="1255" t="s">
        <v>124</v>
      </c>
      <c r="K7" s="1255" t="s">
        <v>125</v>
      </c>
      <c r="L7" s="1255" t="s">
        <v>126</v>
      </c>
      <c r="M7" s="1255" t="s">
        <v>127</v>
      </c>
      <c r="N7" s="1255" t="s">
        <v>184</v>
      </c>
      <c r="O7" s="1255" t="s">
        <v>128</v>
      </c>
    </row>
    <row r="8" spans="1:15" ht="19.5" customHeight="1">
      <c r="A8" s="1223"/>
      <c r="B8" s="1223"/>
      <c r="C8" s="1223"/>
      <c r="D8" s="1256"/>
      <c r="E8" s="1255" t="s">
        <v>37</v>
      </c>
      <c r="F8" s="1255" t="s">
        <v>7</v>
      </c>
      <c r="G8" s="1255"/>
      <c r="H8" s="1255"/>
      <c r="I8" s="1255"/>
      <c r="J8" s="1255"/>
      <c r="K8" s="1255"/>
      <c r="L8" s="1255"/>
      <c r="M8" s="1255"/>
      <c r="N8" s="1255"/>
      <c r="O8" s="1255"/>
    </row>
    <row r="9" spans="1:15" ht="39.75" customHeight="1">
      <c r="A9" s="1223"/>
      <c r="B9" s="1223"/>
      <c r="C9" s="1223"/>
      <c r="D9" s="1256"/>
      <c r="E9" s="1255"/>
      <c r="F9" s="548" t="s">
        <v>129</v>
      </c>
      <c r="G9" s="548" t="s">
        <v>130</v>
      </c>
      <c r="H9" s="1255"/>
      <c r="I9" s="1255"/>
      <c r="J9" s="1255"/>
      <c r="K9" s="1255"/>
      <c r="L9" s="1255"/>
      <c r="M9" s="1255"/>
      <c r="N9" s="1255"/>
      <c r="O9" s="1255"/>
    </row>
    <row r="10" spans="1:15" s="393" customFormat="1" ht="17.25" customHeight="1">
      <c r="A10" s="1257" t="s">
        <v>40</v>
      </c>
      <c r="B10" s="1257"/>
      <c r="C10" s="510">
        <v>1</v>
      </c>
      <c r="D10" s="510">
        <v>2</v>
      </c>
      <c r="E10" s="510">
        <v>3</v>
      </c>
      <c r="F10" s="510">
        <v>4</v>
      </c>
      <c r="G10" s="510">
        <v>5</v>
      </c>
      <c r="H10" s="510">
        <v>6</v>
      </c>
      <c r="I10" s="510">
        <v>7</v>
      </c>
      <c r="J10" s="510">
        <v>8</v>
      </c>
      <c r="K10" s="510">
        <v>9</v>
      </c>
      <c r="L10" s="510">
        <v>10</v>
      </c>
      <c r="M10" s="510">
        <v>11</v>
      </c>
      <c r="N10" s="510">
        <v>12</v>
      </c>
      <c r="O10" s="510">
        <v>13</v>
      </c>
    </row>
    <row r="11" spans="1:15" ht="22.5" customHeight="1">
      <c r="A11" s="502" t="s">
        <v>0</v>
      </c>
      <c r="B11" s="439" t="s">
        <v>131</v>
      </c>
      <c r="C11" s="735">
        <v>1741</v>
      </c>
      <c r="D11" s="735">
        <v>696</v>
      </c>
      <c r="E11" s="735">
        <v>323</v>
      </c>
      <c r="F11" s="735">
        <v>3</v>
      </c>
      <c r="G11" s="735">
        <v>320</v>
      </c>
      <c r="H11" s="735">
        <v>0</v>
      </c>
      <c r="I11" s="735">
        <v>175</v>
      </c>
      <c r="J11" s="735">
        <v>532</v>
      </c>
      <c r="K11" s="735">
        <v>13</v>
      </c>
      <c r="L11" s="735">
        <v>0</v>
      </c>
      <c r="M11" s="735">
        <v>2</v>
      </c>
      <c r="N11" s="735">
        <v>0</v>
      </c>
      <c r="O11" s="743">
        <v>0</v>
      </c>
    </row>
    <row r="12" spans="1:15" s="403" customFormat="1" ht="22.5" customHeight="1">
      <c r="A12" s="501">
        <v>1</v>
      </c>
      <c r="B12" s="430" t="s">
        <v>132</v>
      </c>
      <c r="C12" s="744">
        <v>1533</v>
      </c>
      <c r="D12" s="736">
        <v>631</v>
      </c>
      <c r="E12" s="736">
        <v>289</v>
      </c>
      <c r="F12" s="736">
        <v>3</v>
      </c>
      <c r="G12" s="736">
        <v>286</v>
      </c>
      <c r="H12" s="736">
        <v>0</v>
      </c>
      <c r="I12" s="736">
        <v>153</v>
      </c>
      <c r="J12" s="736">
        <v>450</v>
      </c>
      <c r="K12" s="736">
        <v>9</v>
      </c>
      <c r="L12" s="736">
        <v>0</v>
      </c>
      <c r="M12" s="736">
        <v>1</v>
      </c>
      <c r="N12" s="736">
        <v>0</v>
      </c>
      <c r="O12" s="736">
        <v>0</v>
      </c>
    </row>
    <row r="13" spans="1:15" s="403" customFormat="1" ht="22.5" customHeight="1">
      <c r="A13" s="501">
        <v>2</v>
      </c>
      <c r="B13" s="430" t="s">
        <v>133</v>
      </c>
      <c r="C13" s="744">
        <v>208</v>
      </c>
      <c r="D13" s="736">
        <v>65</v>
      </c>
      <c r="E13" s="736">
        <v>34</v>
      </c>
      <c r="F13" s="736">
        <v>0</v>
      </c>
      <c r="G13" s="736">
        <v>34</v>
      </c>
      <c r="H13" s="736">
        <v>0</v>
      </c>
      <c r="I13" s="736">
        <v>22</v>
      </c>
      <c r="J13" s="736">
        <v>82</v>
      </c>
      <c r="K13" s="736">
        <v>4</v>
      </c>
      <c r="L13" s="736">
        <v>0</v>
      </c>
      <c r="M13" s="736">
        <v>1</v>
      </c>
      <c r="N13" s="736">
        <v>0</v>
      </c>
      <c r="O13" s="736">
        <v>0</v>
      </c>
    </row>
    <row r="14" spans="1:15" ht="22.5" customHeight="1">
      <c r="A14" s="502" t="s">
        <v>1</v>
      </c>
      <c r="B14" s="395" t="s">
        <v>134</v>
      </c>
      <c r="C14" s="744">
        <v>4</v>
      </c>
      <c r="D14" s="736">
        <v>2</v>
      </c>
      <c r="E14" s="736">
        <v>1</v>
      </c>
      <c r="F14" s="736">
        <v>0</v>
      </c>
      <c r="G14" s="736">
        <v>1</v>
      </c>
      <c r="H14" s="736">
        <v>0</v>
      </c>
      <c r="I14" s="736">
        <v>0</v>
      </c>
      <c r="J14" s="736">
        <v>1</v>
      </c>
      <c r="K14" s="736">
        <v>0</v>
      </c>
      <c r="L14" s="736">
        <v>0</v>
      </c>
      <c r="M14" s="736">
        <v>0</v>
      </c>
      <c r="N14" s="736">
        <v>0</v>
      </c>
      <c r="O14" s="736">
        <v>0</v>
      </c>
    </row>
    <row r="15" spans="1:15" ht="22.5" customHeight="1">
      <c r="A15" s="502" t="s">
        <v>9</v>
      </c>
      <c r="B15" s="395" t="s">
        <v>135</v>
      </c>
      <c r="C15" s="744">
        <v>1</v>
      </c>
      <c r="D15" s="736">
        <v>0</v>
      </c>
      <c r="E15" s="736">
        <v>0</v>
      </c>
      <c r="F15" s="736">
        <v>0</v>
      </c>
      <c r="G15" s="736">
        <v>0</v>
      </c>
      <c r="H15" s="736">
        <v>0</v>
      </c>
      <c r="I15" s="736">
        <v>0</v>
      </c>
      <c r="J15" s="736">
        <v>1</v>
      </c>
      <c r="K15" s="736">
        <v>0</v>
      </c>
      <c r="L15" s="736">
        <v>0</v>
      </c>
      <c r="M15" s="736">
        <v>0</v>
      </c>
      <c r="N15" s="736">
        <v>0</v>
      </c>
      <c r="O15" s="736">
        <v>0</v>
      </c>
    </row>
    <row r="16" spans="1:15" ht="22.5" customHeight="1">
      <c r="A16" s="502" t="s">
        <v>136</v>
      </c>
      <c r="B16" s="395" t="s">
        <v>137</v>
      </c>
      <c r="C16" s="745">
        <v>1737</v>
      </c>
      <c r="D16" s="745">
        <v>694</v>
      </c>
      <c r="E16" s="745">
        <v>322</v>
      </c>
      <c r="F16" s="745">
        <v>3</v>
      </c>
      <c r="G16" s="745">
        <v>319</v>
      </c>
      <c r="H16" s="745">
        <v>0</v>
      </c>
      <c r="I16" s="745">
        <v>175</v>
      </c>
      <c r="J16" s="745">
        <v>531</v>
      </c>
      <c r="K16" s="745">
        <v>13</v>
      </c>
      <c r="L16" s="745">
        <v>0</v>
      </c>
      <c r="M16" s="745">
        <v>2</v>
      </c>
      <c r="N16" s="745">
        <v>0</v>
      </c>
      <c r="O16" s="746">
        <v>0</v>
      </c>
    </row>
    <row r="17" spans="1:15" ht="22.5" customHeight="1">
      <c r="A17" s="502" t="s">
        <v>52</v>
      </c>
      <c r="B17" s="395" t="s">
        <v>138</v>
      </c>
      <c r="C17" s="735">
        <v>1200</v>
      </c>
      <c r="D17" s="735">
        <v>486</v>
      </c>
      <c r="E17" s="735">
        <v>155</v>
      </c>
      <c r="F17" s="735">
        <v>3</v>
      </c>
      <c r="G17" s="735">
        <v>152</v>
      </c>
      <c r="H17" s="735">
        <v>0</v>
      </c>
      <c r="I17" s="735">
        <v>131</v>
      </c>
      <c r="J17" s="735">
        <v>414</v>
      </c>
      <c r="K17" s="735">
        <v>13</v>
      </c>
      <c r="L17" s="735">
        <v>0</v>
      </c>
      <c r="M17" s="735">
        <v>1</v>
      </c>
      <c r="N17" s="735">
        <v>0</v>
      </c>
      <c r="O17" s="743">
        <v>0</v>
      </c>
    </row>
    <row r="18" spans="1:15" ht="19.5" customHeight="1">
      <c r="A18" s="501" t="s">
        <v>54</v>
      </c>
      <c r="B18" s="430" t="s">
        <v>139</v>
      </c>
      <c r="C18" s="744">
        <v>45</v>
      </c>
      <c r="D18" s="741">
        <v>13</v>
      </c>
      <c r="E18" s="736">
        <v>15</v>
      </c>
      <c r="F18" s="741">
        <v>0</v>
      </c>
      <c r="G18" s="741">
        <v>15</v>
      </c>
      <c r="H18" s="741">
        <v>0</v>
      </c>
      <c r="I18" s="741">
        <v>4</v>
      </c>
      <c r="J18" s="741">
        <v>11</v>
      </c>
      <c r="K18" s="741">
        <v>2</v>
      </c>
      <c r="L18" s="741">
        <v>0</v>
      </c>
      <c r="M18" s="741">
        <v>0</v>
      </c>
      <c r="N18" s="741">
        <v>0</v>
      </c>
      <c r="O18" s="741">
        <v>0</v>
      </c>
    </row>
    <row r="19" spans="1:15" ht="19.5" customHeight="1">
      <c r="A19" s="501" t="s">
        <v>55</v>
      </c>
      <c r="B19" s="430" t="s">
        <v>140</v>
      </c>
      <c r="C19" s="744">
        <v>12</v>
      </c>
      <c r="D19" s="741">
        <v>8</v>
      </c>
      <c r="E19" s="736">
        <v>0</v>
      </c>
      <c r="F19" s="741">
        <v>0</v>
      </c>
      <c r="G19" s="741">
        <v>0</v>
      </c>
      <c r="H19" s="741">
        <v>0</v>
      </c>
      <c r="I19" s="741">
        <v>3</v>
      </c>
      <c r="J19" s="741">
        <v>1</v>
      </c>
      <c r="K19" s="741">
        <v>0</v>
      </c>
      <c r="L19" s="741">
        <v>0</v>
      </c>
      <c r="M19" s="741">
        <v>0</v>
      </c>
      <c r="N19" s="741">
        <v>0</v>
      </c>
      <c r="O19" s="741">
        <v>0</v>
      </c>
    </row>
    <row r="20" spans="1:15" ht="19.5" customHeight="1">
      <c r="A20" s="501" t="s">
        <v>141</v>
      </c>
      <c r="B20" s="430" t="s">
        <v>142</v>
      </c>
      <c r="C20" s="744">
        <v>1127</v>
      </c>
      <c r="D20" s="741">
        <v>455</v>
      </c>
      <c r="E20" s="736">
        <v>138</v>
      </c>
      <c r="F20" s="741">
        <v>3</v>
      </c>
      <c r="G20" s="741">
        <v>135</v>
      </c>
      <c r="H20" s="741">
        <v>0</v>
      </c>
      <c r="I20" s="741">
        <v>124</v>
      </c>
      <c r="J20" s="741">
        <v>399</v>
      </c>
      <c r="K20" s="741">
        <v>10</v>
      </c>
      <c r="L20" s="741">
        <v>0</v>
      </c>
      <c r="M20" s="741">
        <v>1</v>
      </c>
      <c r="N20" s="741">
        <v>0</v>
      </c>
      <c r="O20" s="741">
        <v>0</v>
      </c>
    </row>
    <row r="21" spans="1:15" ht="19.5" customHeight="1">
      <c r="A21" s="501" t="s">
        <v>143</v>
      </c>
      <c r="B21" s="430" t="s">
        <v>144</v>
      </c>
      <c r="C21" s="744">
        <v>6</v>
      </c>
      <c r="D21" s="741">
        <v>3</v>
      </c>
      <c r="E21" s="736">
        <v>1</v>
      </c>
      <c r="F21" s="741">
        <v>0</v>
      </c>
      <c r="G21" s="741">
        <v>1</v>
      </c>
      <c r="H21" s="741">
        <v>0</v>
      </c>
      <c r="I21" s="741">
        <v>0</v>
      </c>
      <c r="J21" s="741">
        <v>2</v>
      </c>
      <c r="K21" s="741">
        <v>0</v>
      </c>
      <c r="L21" s="741">
        <v>0</v>
      </c>
      <c r="M21" s="741">
        <v>0</v>
      </c>
      <c r="N21" s="741">
        <v>0</v>
      </c>
      <c r="O21" s="741">
        <v>0</v>
      </c>
    </row>
    <row r="22" spans="1:15" ht="19.5" customHeight="1">
      <c r="A22" s="501" t="s">
        <v>145</v>
      </c>
      <c r="B22" s="430" t="s">
        <v>146</v>
      </c>
      <c r="C22" s="744">
        <v>1</v>
      </c>
      <c r="D22" s="741">
        <v>1</v>
      </c>
      <c r="E22" s="736">
        <v>0</v>
      </c>
      <c r="F22" s="741">
        <v>0</v>
      </c>
      <c r="G22" s="741">
        <v>0</v>
      </c>
      <c r="H22" s="741">
        <v>0</v>
      </c>
      <c r="I22" s="741">
        <v>0</v>
      </c>
      <c r="J22" s="741">
        <v>0</v>
      </c>
      <c r="K22" s="741">
        <v>0</v>
      </c>
      <c r="L22" s="741">
        <v>0</v>
      </c>
      <c r="M22" s="741">
        <v>0</v>
      </c>
      <c r="N22" s="741">
        <v>0</v>
      </c>
      <c r="O22" s="741">
        <v>0</v>
      </c>
    </row>
    <row r="23" spans="1:15" ht="25.5">
      <c r="A23" s="501" t="s">
        <v>147</v>
      </c>
      <c r="B23" s="432" t="s">
        <v>148</v>
      </c>
      <c r="C23" s="744">
        <v>0</v>
      </c>
      <c r="D23" s="741">
        <v>0</v>
      </c>
      <c r="E23" s="736">
        <v>0</v>
      </c>
      <c r="F23" s="741">
        <v>0</v>
      </c>
      <c r="G23" s="741">
        <v>0</v>
      </c>
      <c r="H23" s="741">
        <v>0</v>
      </c>
      <c r="I23" s="741">
        <v>0</v>
      </c>
      <c r="J23" s="741">
        <v>0</v>
      </c>
      <c r="K23" s="741">
        <v>0</v>
      </c>
      <c r="L23" s="741">
        <v>0</v>
      </c>
      <c r="M23" s="741">
        <v>0</v>
      </c>
      <c r="N23" s="741">
        <v>0</v>
      </c>
      <c r="O23" s="741">
        <v>0</v>
      </c>
    </row>
    <row r="24" spans="1:15" ht="19.5" customHeight="1">
      <c r="A24" s="501" t="s">
        <v>149</v>
      </c>
      <c r="B24" s="430" t="s">
        <v>150</v>
      </c>
      <c r="C24" s="744">
        <v>9</v>
      </c>
      <c r="D24" s="741">
        <v>6</v>
      </c>
      <c r="E24" s="736">
        <v>1</v>
      </c>
      <c r="F24" s="741">
        <v>0</v>
      </c>
      <c r="G24" s="741">
        <v>1</v>
      </c>
      <c r="H24" s="741">
        <v>0</v>
      </c>
      <c r="I24" s="741">
        <v>0</v>
      </c>
      <c r="J24" s="741">
        <v>1</v>
      </c>
      <c r="K24" s="741">
        <v>1</v>
      </c>
      <c r="L24" s="741">
        <v>0</v>
      </c>
      <c r="M24" s="741">
        <v>0</v>
      </c>
      <c r="N24" s="741">
        <v>0</v>
      </c>
      <c r="O24" s="741">
        <v>0</v>
      </c>
    </row>
    <row r="25" spans="1:15" ht="22.5" customHeight="1">
      <c r="A25" s="502" t="s">
        <v>53</v>
      </c>
      <c r="B25" s="395" t="s">
        <v>151</v>
      </c>
      <c r="C25" s="735">
        <v>537</v>
      </c>
      <c r="D25" s="741">
        <v>208</v>
      </c>
      <c r="E25" s="737">
        <v>167</v>
      </c>
      <c r="F25" s="741">
        <v>0</v>
      </c>
      <c r="G25" s="741">
        <v>167</v>
      </c>
      <c r="H25" s="741">
        <v>0</v>
      </c>
      <c r="I25" s="741">
        <v>44</v>
      </c>
      <c r="J25" s="741">
        <v>117</v>
      </c>
      <c r="K25" s="741">
        <v>0</v>
      </c>
      <c r="L25" s="741">
        <v>0</v>
      </c>
      <c r="M25" s="741">
        <v>1</v>
      </c>
      <c r="N25" s="741">
        <v>0</v>
      </c>
      <c r="O25" s="741">
        <v>0</v>
      </c>
    </row>
    <row r="26" spans="1:15" ht="32.25" customHeight="1">
      <c r="A26" s="503" t="s">
        <v>555</v>
      </c>
      <c r="B26" s="433" t="s">
        <v>152</v>
      </c>
      <c r="C26" s="697">
        <f>(C18+C19)/C17*100</f>
        <v>4.75</v>
      </c>
      <c r="D26" s="697">
        <f aca="true" t="shared" si="0" ref="D26:O26">(D18+D19)/D17*100</f>
        <v>4.320987654320987</v>
      </c>
      <c r="E26" s="697">
        <f t="shared" si="0"/>
        <v>9.67741935483871</v>
      </c>
      <c r="F26" s="697">
        <f t="shared" si="0"/>
        <v>0</v>
      </c>
      <c r="G26" s="697">
        <f t="shared" si="0"/>
        <v>9.868421052631579</v>
      </c>
      <c r="H26" s="697" t="e">
        <f t="shared" si="0"/>
        <v>#DIV/0!</v>
      </c>
      <c r="I26" s="697">
        <f t="shared" si="0"/>
        <v>5.343511450381679</v>
      </c>
      <c r="J26" s="697">
        <f t="shared" si="0"/>
        <v>2.898550724637681</v>
      </c>
      <c r="K26" s="697">
        <f t="shared" si="0"/>
        <v>15.384615384615385</v>
      </c>
      <c r="L26" s="697" t="e">
        <f t="shared" si="0"/>
        <v>#DIV/0!</v>
      </c>
      <c r="M26" s="697">
        <f t="shared" si="0"/>
        <v>0</v>
      </c>
      <c r="N26" s="697" t="e">
        <f t="shared" si="0"/>
        <v>#DIV/0!</v>
      </c>
      <c r="O26" s="697" t="e">
        <f t="shared" si="0"/>
        <v>#DIV/0!</v>
      </c>
    </row>
    <row r="31" ht="15"/>
  </sheetData>
  <sheetProtection/>
  <mergeCells count="24">
    <mergeCell ref="A10:B10"/>
    <mergeCell ref="F8:G8"/>
    <mergeCell ref="E8:E9"/>
    <mergeCell ref="D6:O6"/>
    <mergeCell ref="N7:N9"/>
    <mergeCell ref="H7:H9"/>
    <mergeCell ref="J7:J9"/>
    <mergeCell ref="K7:K9"/>
    <mergeCell ref="L1:O1"/>
    <mergeCell ref="L2:O2"/>
    <mergeCell ref="L3:O3"/>
    <mergeCell ref="M7:M9"/>
    <mergeCell ref="L4:O4"/>
    <mergeCell ref="O7:O9"/>
    <mergeCell ref="L7:L9"/>
    <mergeCell ref="A1:B1"/>
    <mergeCell ref="D1:K1"/>
    <mergeCell ref="D2:K2"/>
    <mergeCell ref="A6:B9"/>
    <mergeCell ref="C6:C9"/>
    <mergeCell ref="E7:G7"/>
    <mergeCell ref="D3:K3"/>
    <mergeCell ref="D7:D9"/>
    <mergeCell ref="I7:I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10">
      <selection activeCell="C8" sqref="C8"/>
    </sheetView>
  </sheetViews>
  <sheetFormatPr defaultColWidth="9.00390625" defaultRowHeight="15.75"/>
  <cols>
    <col min="1" max="1" width="4.25390625" style="422" customWidth="1"/>
    <col min="2" max="2" width="47.375" style="422" customWidth="1"/>
    <col min="3" max="3" width="39.75390625" style="422" customWidth="1"/>
    <col min="4" max="16384" width="9.00390625" style="422" customWidth="1"/>
  </cols>
  <sheetData>
    <row r="1" spans="1:3" s="436" customFormat="1" ht="39.75" customHeight="1">
      <c r="A1" s="1260" t="s">
        <v>571</v>
      </c>
      <c r="B1" s="1261"/>
      <c r="C1" s="1261"/>
    </row>
    <row r="2" spans="1:3" ht="21" customHeight="1">
      <c r="A2" s="1262" t="s">
        <v>70</v>
      </c>
      <c r="B2" s="1263"/>
      <c r="C2" s="440" t="s">
        <v>340</v>
      </c>
    </row>
    <row r="3" spans="1:3" s="443" customFormat="1" ht="15" customHeight="1">
      <c r="A3" s="1264" t="s">
        <v>6</v>
      </c>
      <c r="B3" s="1265"/>
      <c r="C3" s="442">
        <v>1</v>
      </c>
    </row>
    <row r="4" spans="1:3" s="444" customFormat="1" ht="19.5" customHeight="1">
      <c r="A4" s="441" t="s">
        <v>52</v>
      </c>
      <c r="B4" s="515" t="s">
        <v>569</v>
      </c>
      <c r="C4" s="404">
        <f>SUM(C5:C13)</f>
        <v>6</v>
      </c>
    </row>
    <row r="5" spans="1:3" s="26" customFormat="1" ht="19.5" customHeight="1">
      <c r="A5" s="445" t="s">
        <v>54</v>
      </c>
      <c r="B5" s="516" t="s">
        <v>168</v>
      </c>
      <c r="C5" s="409">
        <v>0</v>
      </c>
    </row>
    <row r="6" spans="1:3" s="26" customFormat="1" ht="19.5" customHeight="1">
      <c r="A6" s="446" t="s">
        <v>55</v>
      </c>
      <c r="B6" s="516" t="s">
        <v>170</v>
      </c>
      <c r="C6" s="409">
        <v>0</v>
      </c>
    </row>
    <row r="7" spans="1:3" s="26" customFormat="1" ht="19.5" customHeight="1">
      <c r="A7" s="446" t="s">
        <v>141</v>
      </c>
      <c r="B7" s="516" t="s">
        <v>180</v>
      </c>
      <c r="C7" s="409">
        <v>5</v>
      </c>
    </row>
    <row r="8" spans="1:3" s="26" customFormat="1" ht="19.5" customHeight="1">
      <c r="A8" s="446" t="s">
        <v>143</v>
      </c>
      <c r="B8" s="516" t="s">
        <v>172</v>
      </c>
      <c r="C8" s="409">
        <v>0</v>
      </c>
    </row>
    <row r="9" spans="1:3" s="26" customFormat="1" ht="19.5" customHeight="1">
      <c r="A9" s="446" t="s">
        <v>145</v>
      </c>
      <c r="B9" s="516" t="s">
        <v>156</v>
      </c>
      <c r="C9" s="409">
        <v>0</v>
      </c>
    </row>
    <row r="10" spans="1:3" s="26" customFormat="1" ht="19.5" customHeight="1">
      <c r="A10" s="446" t="s">
        <v>147</v>
      </c>
      <c r="B10" s="516" t="s">
        <v>185</v>
      </c>
      <c r="C10" s="409"/>
    </row>
    <row r="11" spans="1:3" s="26" customFormat="1" ht="19.5" customHeight="1">
      <c r="A11" s="446" t="s">
        <v>149</v>
      </c>
      <c r="B11" s="516" t="s">
        <v>158</v>
      </c>
      <c r="C11" s="409"/>
    </row>
    <row r="12" spans="1:3" s="447" customFormat="1" ht="19.5" customHeight="1">
      <c r="A12" s="446" t="s">
        <v>186</v>
      </c>
      <c r="B12" s="516" t="s">
        <v>187</v>
      </c>
      <c r="C12" s="409"/>
    </row>
    <row r="13" spans="1:3" s="447" customFormat="1" ht="19.5" customHeight="1">
      <c r="A13" s="446" t="s">
        <v>575</v>
      </c>
      <c r="B13" s="516" t="s">
        <v>160</v>
      </c>
      <c r="C13" s="409">
        <v>1</v>
      </c>
    </row>
    <row r="14" spans="1:3" s="447" customFormat="1" ht="19.5" customHeight="1">
      <c r="A14" s="441" t="s">
        <v>53</v>
      </c>
      <c r="B14" s="515" t="s">
        <v>567</v>
      </c>
      <c r="C14" s="404">
        <f>SUM(C15:C16)</f>
        <v>1</v>
      </c>
    </row>
    <row r="15" spans="1:3" s="447" customFormat="1" ht="19.5" customHeight="1">
      <c r="A15" s="445" t="s">
        <v>56</v>
      </c>
      <c r="B15" s="516" t="s">
        <v>188</v>
      </c>
      <c r="C15" s="409">
        <v>1</v>
      </c>
    </row>
    <row r="16" spans="1:3" s="447" customFormat="1" ht="19.5" customHeight="1">
      <c r="A16" s="445" t="s">
        <v>57</v>
      </c>
      <c r="B16" s="516" t="s">
        <v>160</v>
      </c>
      <c r="C16" s="409"/>
    </row>
    <row r="17" spans="1:3" s="444" customFormat="1" ht="19.5" customHeight="1">
      <c r="A17" s="441" t="s">
        <v>58</v>
      </c>
      <c r="B17" s="515" t="s">
        <v>150</v>
      </c>
      <c r="C17" s="404">
        <f>SUM(C18:C20)</f>
        <v>9</v>
      </c>
    </row>
    <row r="18" spans="1:3" s="26" customFormat="1" ht="19.5" customHeight="1">
      <c r="A18" s="445" t="s">
        <v>161</v>
      </c>
      <c r="B18" s="516" t="s">
        <v>189</v>
      </c>
      <c r="C18" s="409">
        <v>3</v>
      </c>
    </row>
    <row r="19" spans="1:3" s="26" customFormat="1" ht="30">
      <c r="A19" s="446" t="s">
        <v>163</v>
      </c>
      <c r="B19" s="516" t="s">
        <v>164</v>
      </c>
      <c r="C19" s="409">
        <v>3</v>
      </c>
    </row>
    <row r="20" spans="1:3" s="26" customFormat="1" ht="19.5" customHeight="1">
      <c r="A20" s="446" t="s">
        <v>165</v>
      </c>
      <c r="B20" s="516" t="s">
        <v>166</v>
      </c>
      <c r="C20" s="409">
        <v>3</v>
      </c>
    </row>
    <row r="21" spans="1:3" s="26" customFormat="1" ht="19.5" customHeight="1">
      <c r="A21" s="441" t="s">
        <v>73</v>
      </c>
      <c r="B21" s="515" t="s">
        <v>564</v>
      </c>
      <c r="C21" s="404">
        <f>SUM(C22:C28)</f>
        <v>12</v>
      </c>
    </row>
    <row r="22" spans="1:3" s="26" customFormat="1" ht="19.5" customHeight="1">
      <c r="A22" s="446" t="s">
        <v>167</v>
      </c>
      <c r="B22" s="516" t="s">
        <v>168</v>
      </c>
      <c r="C22" s="409">
        <v>1</v>
      </c>
    </row>
    <row r="23" spans="1:3" s="26" customFormat="1" ht="19.5" customHeight="1">
      <c r="A23" s="446" t="s">
        <v>169</v>
      </c>
      <c r="B23" s="516" t="s">
        <v>170</v>
      </c>
      <c r="C23" s="409">
        <v>0</v>
      </c>
    </row>
    <row r="24" spans="1:3" s="26" customFormat="1" ht="19.5" customHeight="1">
      <c r="A24" s="446" t="s">
        <v>171</v>
      </c>
      <c r="B24" s="516" t="s">
        <v>190</v>
      </c>
      <c r="C24" s="409">
        <v>11</v>
      </c>
    </row>
    <row r="25" spans="1:3" s="26" customFormat="1" ht="19.5" customHeight="1">
      <c r="A25" s="446" t="s">
        <v>173</v>
      </c>
      <c r="B25" s="516" t="s">
        <v>155</v>
      </c>
      <c r="C25" s="409">
        <v>0</v>
      </c>
    </row>
    <row r="26" spans="1:3" s="26" customFormat="1" ht="19.5" customHeight="1">
      <c r="A26" s="446" t="s">
        <v>174</v>
      </c>
      <c r="B26" s="516" t="s">
        <v>191</v>
      </c>
      <c r="C26" s="409"/>
    </row>
    <row r="27" spans="1:3" s="26" customFormat="1" ht="19.5" customHeight="1">
      <c r="A27" s="446" t="s">
        <v>175</v>
      </c>
      <c r="B27" s="516" t="s">
        <v>158</v>
      </c>
      <c r="C27" s="409"/>
    </row>
    <row r="28" spans="1:3" s="26" customFormat="1" ht="19.5" customHeight="1">
      <c r="A28" s="446" t="s">
        <v>192</v>
      </c>
      <c r="B28" s="516" t="s">
        <v>193</v>
      </c>
      <c r="C28" s="409">
        <v>0</v>
      </c>
    </row>
    <row r="29" spans="1:3" s="26" customFormat="1" ht="19.5" customHeight="1">
      <c r="A29" s="441" t="s">
        <v>74</v>
      </c>
      <c r="B29" s="515" t="s">
        <v>568</v>
      </c>
      <c r="C29" s="404">
        <f>SUM(C30:C32)</f>
        <v>537</v>
      </c>
    </row>
    <row r="30" spans="1:3" ht="19.5" customHeight="1">
      <c r="A30" s="446" t="s">
        <v>177</v>
      </c>
      <c r="B30" s="516" t="s">
        <v>168</v>
      </c>
      <c r="C30" s="409">
        <v>418</v>
      </c>
    </row>
    <row r="31" spans="1:3" s="26" customFormat="1" ht="19.5" customHeight="1">
      <c r="A31" s="446" t="s">
        <v>178</v>
      </c>
      <c r="B31" s="516" t="s">
        <v>170</v>
      </c>
      <c r="C31" s="409">
        <v>0</v>
      </c>
    </row>
    <row r="32" spans="1:3" s="26" customFormat="1" ht="19.5" customHeight="1">
      <c r="A32" s="446" t="s">
        <v>179</v>
      </c>
      <c r="B32" s="516" t="s">
        <v>190</v>
      </c>
      <c r="C32" s="409">
        <v>119</v>
      </c>
    </row>
    <row r="33" spans="1:3" s="26" customFormat="1" ht="25.5" customHeight="1">
      <c r="A33" s="1266"/>
      <c r="B33" s="1266"/>
      <c r="C33" s="517" t="str">
        <f>'Thong tin'!B8</f>
        <v>Hải Phòng, ngày 04 tháng 01 năm 2018</v>
      </c>
    </row>
    <row r="34" spans="1:3" s="26" customFormat="1" ht="18.75">
      <c r="A34" s="1259" t="s">
        <v>4</v>
      </c>
      <c r="B34" s="1259"/>
      <c r="C34" s="518" t="str">
        <f>'Thong tin'!B7</f>
        <v>
PHÓ CỤC TRƯỞNG</v>
      </c>
    </row>
    <row r="35" spans="1:3" s="26" customFormat="1" ht="18.75">
      <c r="A35" s="519"/>
      <c r="B35" s="520"/>
      <c r="C35" s="520"/>
    </row>
    <row r="36" spans="1:3" s="26" customFormat="1" ht="15.75">
      <c r="A36" s="519"/>
      <c r="B36" s="521"/>
      <c r="C36" s="521"/>
    </row>
    <row r="37" spans="1:3" s="26" customFormat="1" ht="15.75">
      <c r="A37" s="519"/>
      <c r="B37" s="519"/>
      <c r="C37" s="519"/>
    </row>
    <row r="38" spans="1:3" ht="15.75">
      <c r="A38" s="522"/>
      <c r="B38" s="523"/>
      <c r="C38" s="524"/>
    </row>
    <row r="39" spans="1:3" ht="15.75">
      <c r="A39" s="525"/>
      <c r="B39" s="524"/>
      <c r="C39" s="525"/>
    </row>
    <row r="40" spans="1:3" s="444" customFormat="1" ht="18.75">
      <c r="A40" s="1258" t="str">
        <f>'Thong tin'!B5</f>
        <v>Trần Thị Minh</v>
      </c>
      <c r="B40" s="1258"/>
      <c r="C40" s="526" t="str">
        <f>'Thong tin'!B6</f>
        <v>Nguyễn Thị Mai Hoa</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7"/>
  <sheetViews>
    <sheetView showZeros="0" view="pageBreakPreview" zoomScale="85" zoomScaleSheetLayoutView="85" zoomScalePageLayoutView="0" workbookViewId="0" topLeftCell="A4">
      <selection activeCell="C11" sqref="C11:M26"/>
    </sheetView>
  </sheetViews>
  <sheetFormatPr defaultColWidth="9.00390625" defaultRowHeight="15.75"/>
  <cols>
    <col min="1" max="1" width="4.125" style="436" customWidth="1"/>
    <col min="2" max="2" width="24.75390625" style="388" customWidth="1"/>
    <col min="3" max="3" width="11.375" style="388" customWidth="1"/>
    <col min="4" max="4" width="9.375" style="388" customWidth="1"/>
    <col min="5" max="5" width="10.375" style="388" customWidth="1"/>
    <col min="6" max="6" width="9.875" style="388" bestFit="1" customWidth="1"/>
    <col min="7" max="7" width="10.00390625" style="388" customWidth="1"/>
    <col min="8" max="9" width="8.25390625" style="388" customWidth="1"/>
    <col min="10" max="10" width="9.625" style="388" customWidth="1"/>
    <col min="11" max="13" width="8.25390625" style="388" customWidth="1"/>
    <col min="14" max="14" width="9.75390625" style="388" customWidth="1"/>
    <col min="15" max="15" width="12.875" style="647" bestFit="1" customWidth="1"/>
    <col min="16" max="16" width="11.875" style="388" bestFit="1" customWidth="1"/>
    <col min="17" max="16384" width="9.00390625" style="388" customWidth="1"/>
  </cols>
  <sheetData>
    <row r="1" spans="1:15" ht="23.25" customHeight="1">
      <c r="A1" s="1269" t="s">
        <v>31</v>
      </c>
      <c r="B1" s="1269"/>
      <c r="C1" s="450"/>
      <c r="D1" s="451" t="s">
        <v>194</v>
      </c>
      <c r="E1" s="451"/>
      <c r="F1" s="451"/>
      <c r="G1" s="451"/>
      <c r="H1" s="451"/>
      <c r="I1" s="451"/>
      <c r="J1" s="452"/>
      <c r="K1" s="418"/>
      <c r="L1" s="420" t="s">
        <v>557</v>
      </c>
      <c r="M1" s="434"/>
      <c r="N1" s="413"/>
      <c r="O1" s="650"/>
    </row>
    <row r="2" spans="1:15" ht="16.5" customHeight="1">
      <c r="A2" s="1270" t="s">
        <v>344</v>
      </c>
      <c r="B2" s="1270"/>
      <c r="C2" s="1270"/>
      <c r="D2" s="1241" t="s">
        <v>118</v>
      </c>
      <c r="E2" s="1241"/>
      <c r="F2" s="1241"/>
      <c r="G2" s="1241"/>
      <c r="H2" s="1241"/>
      <c r="I2" s="1241"/>
      <c r="J2" s="451"/>
      <c r="K2" s="420"/>
      <c r="L2" s="453" t="str">
        <f>'Thong tin'!B4</f>
        <v>CTHADS Hải Phòng</v>
      </c>
      <c r="M2" s="420"/>
      <c r="N2" s="413"/>
      <c r="O2" s="651"/>
    </row>
    <row r="3" spans="1:15" ht="16.5" customHeight="1">
      <c r="A3" s="1270" t="s">
        <v>345</v>
      </c>
      <c r="B3" s="1270"/>
      <c r="C3" s="413"/>
      <c r="D3" s="1236" t="str">
        <f>'Thong tin'!B3</f>
        <v>03 tháng / năm 2018</v>
      </c>
      <c r="E3" s="1236"/>
      <c r="F3" s="1236"/>
      <c r="G3" s="1236"/>
      <c r="H3" s="1236"/>
      <c r="I3" s="1236"/>
      <c r="J3" s="454"/>
      <c r="K3" s="418"/>
      <c r="L3" s="420" t="s">
        <v>523</v>
      </c>
      <c r="M3" s="434"/>
      <c r="N3" s="413"/>
      <c r="O3" s="652"/>
    </row>
    <row r="4" spans="1:15" ht="16.5" customHeight="1">
      <c r="A4" s="434" t="s">
        <v>119</v>
      </c>
      <c r="B4" s="434"/>
      <c r="C4" s="419"/>
      <c r="D4" s="420"/>
      <c r="E4" s="420"/>
      <c r="F4" s="419"/>
      <c r="G4" s="421"/>
      <c r="H4" s="421"/>
      <c r="I4" s="421"/>
      <c r="J4" s="419"/>
      <c r="K4" s="420"/>
      <c r="L4" s="453" t="s">
        <v>412</v>
      </c>
      <c r="M4" s="420"/>
      <c r="N4" s="413"/>
      <c r="O4" s="652"/>
    </row>
    <row r="5" spans="1:15" ht="16.5" customHeight="1">
      <c r="A5" s="422"/>
      <c r="B5" s="419"/>
      <c r="C5" s="456"/>
      <c r="D5" s="419"/>
      <c r="E5" s="419"/>
      <c r="F5" s="423"/>
      <c r="G5" s="424"/>
      <c r="H5" s="424"/>
      <c r="I5" s="424"/>
      <c r="J5" s="423"/>
      <c r="K5" s="425"/>
      <c r="L5" s="425" t="s">
        <v>195</v>
      </c>
      <c r="M5" s="425"/>
      <c r="N5" s="413"/>
      <c r="O5" s="652"/>
    </row>
    <row r="6" spans="1:15" ht="18.75" customHeight="1">
      <c r="A6" s="1216" t="s">
        <v>69</v>
      </c>
      <c r="B6" s="1217"/>
      <c r="C6" s="1223" t="s">
        <v>38</v>
      </c>
      <c r="D6" s="1222" t="s">
        <v>338</v>
      </c>
      <c r="E6" s="1224"/>
      <c r="F6" s="1224"/>
      <c r="G6" s="1224"/>
      <c r="H6" s="1224"/>
      <c r="I6" s="1224"/>
      <c r="J6" s="1224"/>
      <c r="K6" s="1224"/>
      <c r="L6" s="1224"/>
      <c r="M6" s="1224"/>
      <c r="N6" s="1225"/>
      <c r="O6" s="653"/>
    </row>
    <row r="7" spans="1:15" ht="27" customHeight="1">
      <c r="A7" s="1218"/>
      <c r="B7" s="1219"/>
      <c r="C7" s="1223"/>
      <c r="D7" s="1234" t="s">
        <v>196</v>
      </c>
      <c r="E7" s="1228" t="s">
        <v>197</v>
      </c>
      <c r="F7" s="1229"/>
      <c r="G7" s="1230"/>
      <c r="H7" s="1234" t="s">
        <v>198</v>
      </c>
      <c r="I7" s="1234" t="s">
        <v>123</v>
      </c>
      <c r="J7" s="1234" t="s">
        <v>199</v>
      </c>
      <c r="K7" s="1234" t="s">
        <v>125</v>
      </c>
      <c r="L7" s="1234" t="s">
        <v>126</v>
      </c>
      <c r="M7" s="1234" t="s">
        <v>127</v>
      </c>
      <c r="N7" s="1255" t="s">
        <v>128</v>
      </c>
      <c r="O7" s="652"/>
    </row>
    <row r="8" spans="1:15" ht="18" customHeight="1">
      <c r="A8" s="1218"/>
      <c r="B8" s="1219"/>
      <c r="C8" s="1223"/>
      <c r="D8" s="1234"/>
      <c r="E8" s="1239" t="s">
        <v>37</v>
      </c>
      <c r="F8" s="1243" t="s">
        <v>7</v>
      </c>
      <c r="G8" s="1244"/>
      <c r="H8" s="1234"/>
      <c r="I8" s="1234"/>
      <c r="J8" s="1234"/>
      <c r="K8" s="1234"/>
      <c r="L8" s="1234"/>
      <c r="M8" s="1234"/>
      <c r="N8" s="1255"/>
      <c r="O8" s="654"/>
    </row>
    <row r="9" spans="1:15" ht="26.25" customHeight="1">
      <c r="A9" s="1220"/>
      <c r="B9" s="1221"/>
      <c r="C9" s="1223"/>
      <c r="D9" s="1235"/>
      <c r="E9" s="1235"/>
      <c r="F9" s="547" t="s">
        <v>200</v>
      </c>
      <c r="G9" s="548" t="s">
        <v>201</v>
      </c>
      <c r="H9" s="1235"/>
      <c r="I9" s="1235"/>
      <c r="J9" s="1235"/>
      <c r="K9" s="1235"/>
      <c r="L9" s="1235"/>
      <c r="M9" s="1235"/>
      <c r="N9" s="1255"/>
      <c r="O9" s="654"/>
    </row>
    <row r="10" spans="1:15" s="460" customFormat="1" ht="20.25" customHeight="1">
      <c r="A10" s="1267" t="s">
        <v>40</v>
      </c>
      <c r="B10" s="1268"/>
      <c r="C10" s="459">
        <v>1</v>
      </c>
      <c r="D10" s="459">
        <v>2</v>
      </c>
      <c r="E10" s="459">
        <v>3</v>
      </c>
      <c r="F10" s="459">
        <v>4</v>
      </c>
      <c r="G10" s="459">
        <v>5</v>
      </c>
      <c r="H10" s="459">
        <v>6</v>
      </c>
      <c r="I10" s="459">
        <v>7</v>
      </c>
      <c r="J10" s="459">
        <v>8</v>
      </c>
      <c r="K10" s="459">
        <v>9</v>
      </c>
      <c r="L10" s="459">
        <v>10</v>
      </c>
      <c r="M10" s="459">
        <v>11</v>
      </c>
      <c r="N10" s="459">
        <v>12</v>
      </c>
      <c r="O10" s="655"/>
    </row>
    <row r="11" spans="1:15" ht="21" customHeight="1">
      <c r="A11" s="500" t="s">
        <v>0</v>
      </c>
      <c r="B11" s="427" t="s">
        <v>131</v>
      </c>
      <c r="C11" s="735">
        <v>240298331</v>
      </c>
      <c r="D11" s="735">
        <v>16652485</v>
      </c>
      <c r="E11" s="735">
        <v>177035278</v>
      </c>
      <c r="F11" s="735">
        <v>35528834</v>
      </c>
      <c r="G11" s="735">
        <v>141506444</v>
      </c>
      <c r="H11" s="735">
        <v>81124</v>
      </c>
      <c r="I11" s="735">
        <v>3079030</v>
      </c>
      <c r="J11" s="735">
        <v>35757509</v>
      </c>
      <c r="K11" s="735">
        <v>119981</v>
      </c>
      <c r="L11" s="735">
        <v>2589412</v>
      </c>
      <c r="M11" s="735">
        <v>0</v>
      </c>
      <c r="N11" s="735">
        <v>4983512</v>
      </c>
      <c r="O11" s="653"/>
    </row>
    <row r="12" spans="1:15" ht="21" customHeight="1">
      <c r="A12" s="501">
        <v>1</v>
      </c>
      <c r="B12" s="430" t="s">
        <v>132</v>
      </c>
      <c r="C12" s="735">
        <v>199729865</v>
      </c>
      <c r="D12" s="736">
        <v>13590457</v>
      </c>
      <c r="E12" s="737">
        <v>151282713</v>
      </c>
      <c r="F12" s="736">
        <v>35082183</v>
      </c>
      <c r="G12" s="736">
        <v>116200530</v>
      </c>
      <c r="H12" s="736">
        <v>79724</v>
      </c>
      <c r="I12" s="736">
        <v>2324639</v>
      </c>
      <c r="J12" s="736">
        <v>28617359</v>
      </c>
      <c r="K12" s="736">
        <v>93838</v>
      </c>
      <c r="L12" s="736">
        <v>0</v>
      </c>
      <c r="M12" s="736">
        <v>0</v>
      </c>
      <c r="N12" s="736">
        <v>3741135</v>
      </c>
      <c r="O12" s="653"/>
    </row>
    <row r="13" spans="1:15" ht="21" customHeight="1">
      <c r="A13" s="501">
        <v>2</v>
      </c>
      <c r="B13" s="430" t="s">
        <v>133</v>
      </c>
      <c r="C13" s="735">
        <v>40568466</v>
      </c>
      <c r="D13" s="736">
        <v>3062028</v>
      </c>
      <c r="E13" s="737">
        <v>25752565</v>
      </c>
      <c r="F13" s="736">
        <v>446651</v>
      </c>
      <c r="G13" s="736">
        <v>25305914</v>
      </c>
      <c r="H13" s="736">
        <v>1400</v>
      </c>
      <c r="I13" s="736">
        <v>754391</v>
      </c>
      <c r="J13" s="736">
        <v>7140150</v>
      </c>
      <c r="K13" s="736">
        <v>26143</v>
      </c>
      <c r="L13" s="736">
        <v>2589412</v>
      </c>
      <c r="M13" s="736">
        <v>0</v>
      </c>
      <c r="N13" s="736">
        <v>1242377</v>
      </c>
      <c r="O13" s="653"/>
    </row>
    <row r="14" spans="1:15" ht="21" customHeight="1">
      <c r="A14" s="502" t="s">
        <v>1</v>
      </c>
      <c r="B14" s="395" t="s">
        <v>134</v>
      </c>
      <c r="C14" s="735">
        <v>213310</v>
      </c>
      <c r="D14" s="736">
        <v>17887</v>
      </c>
      <c r="E14" s="737">
        <v>85070</v>
      </c>
      <c r="F14" s="736">
        <v>38250</v>
      </c>
      <c r="G14" s="736">
        <v>46820</v>
      </c>
      <c r="H14" s="736">
        <v>0</v>
      </c>
      <c r="I14" s="736">
        <v>78037</v>
      </c>
      <c r="J14" s="736">
        <v>28766</v>
      </c>
      <c r="K14" s="736">
        <v>3550</v>
      </c>
      <c r="L14" s="736">
        <v>0</v>
      </c>
      <c r="M14" s="736">
        <v>0</v>
      </c>
      <c r="N14" s="736">
        <v>0</v>
      </c>
      <c r="O14" s="653"/>
    </row>
    <row r="15" spans="1:15" ht="21" customHeight="1">
      <c r="A15" s="502" t="s">
        <v>9</v>
      </c>
      <c r="B15" s="395" t="s">
        <v>135</v>
      </c>
      <c r="C15" s="735">
        <v>116992</v>
      </c>
      <c r="D15" s="736">
        <v>0</v>
      </c>
      <c r="E15" s="737">
        <v>0</v>
      </c>
      <c r="F15" s="736">
        <v>0</v>
      </c>
      <c r="G15" s="736">
        <v>0</v>
      </c>
      <c r="H15" s="736">
        <v>0</v>
      </c>
      <c r="I15" s="736">
        <v>0</v>
      </c>
      <c r="J15" s="736">
        <v>116992</v>
      </c>
      <c r="K15" s="736">
        <v>0</v>
      </c>
      <c r="L15" s="736">
        <v>0</v>
      </c>
      <c r="M15" s="736">
        <v>0</v>
      </c>
      <c r="N15" s="736">
        <v>0</v>
      </c>
      <c r="O15" s="652"/>
    </row>
    <row r="16" spans="1:15" ht="21" customHeight="1">
      <c r="A16" s="502" t="s">
        <v>136</v>
      </c>
      <c r="B16" s="395" t="s">
        <v>137</v>
      </c>
      <c r="C16" s="745">
        <v>240085021</v>
      </c>
      <c r="D16" s="745">
        <v>16634598</v>
      </c>
      <c r="E16" s="745">
        <v>176950208</v>
      </c>
      <c r="F16" s="745">
        <v>35490584</v>
      </c>
      <c r="G16" s="745">
        <v>141459624</v>
      </c>
      <c r="H16" s="745">
        <v>81124</v>
      </c>
      <c r="I16" s="745">
        <v>3000993</v>
      </c>
      <c r="J16" s="745">
        <v>35728743</v>
      </c>
      <c r="K16" s="745">
        <v>116431</v>
      </c>
      <c r="L16" s="745">
        <v>2589412</v>
      </c>
      <c r="M16" s="745">
        <v>0</v>
      </c>
      <c r="N16" s="745">
        <v>4983512</v>
      </c>
      <c r="O16" s="653"/>
    </row>
    <row r="17" spans="1:15" ht="21" customHeight="1">
      <c r="A17" s="502" t="s">
        <v>52</v>
      </c>
      <c r="B17" s="431" t="s">
        <v>138</v>
      </c>
      <c r="C17" s="735">
        <v>103721599</v>
      </c>
      <c r="D17" s="735">
        <v>8989748</v>
      </c>
      <c r="E17" s="735">
        <v>65944432</v>
      </c>
      <c r="F17" s="735">
        <v>11066160</v>
      </c>
      <c r="G17" s="735">
        <v>54878272</v>
      </c>
      <c r="H17" s="735">
        <v>38802</v>
      </c>
      <c r="I17" s="735">
        <v>1413681</v>
      </c>
      <c r="J17" s="735">
        <v>19941974</v>
      </c>
      <c r="K17" s="735">
        <v>40518</v>
      </c>
      <c r="L17" s="735">
        <v>2589412</v>
      </c>
      <c r="M17" s="735">
        <v>0</v>
      </c>
      <c r="N17" s="735">
        <v>4763032</v>
      </c>
      <c r="O17" s="656"/>
    </row>
    <row r="18" spans="1:15" ht="21" customHeight="1">
      <c r="A18" s="501" t="s">
        <v>54</v>
      </c>
      <c r="B18" s="430" t="s">
        <v>139</v>
      </c>
      <c r="C18" s="735">
        <v>6388967</v>
      </c>
      <c r="D18" s="741">
        <v>819545</v>
      </c>
      <c r="E18" s="737">
        <v>1518464</v>
      </c>
      <c r="F18" s="741">
        <v>270871</v>
      </c>
      <c r="G18" s="741">
        <v>1247593</v>
      </c>
      <c r="H18" s="741">
        <v>1050</v>
      </c>
      <c r="I18" s="741">
        <v>556163</v>
      </c>
      <c r="J18" s="741">
        <v>2437742</v>
      </c>
      <c r="K18" s="741">
        <v>1651</v>
      </c>
      <c r="L18" s="741">
        <v>177124</v>
      </c>
      <c r="M18" s="741">
        <v>0</v>
      </c>
      <c r="N18" s="741">
        <v>877228</v>
      </c>
      <c r="O18" s="650"/>
    </row>
    <row r="19" spans="1:15" ht="21" customHeight="1">
      <c r="A19" s="501" t="s">
        <v>55</v>
      </c>
      <c r="B19" s="430" t="s">
        <v>140</v>
      </c>
      <c r="C19" s="735">
        <v>302165</v>
      </c>
      <c r="D19" s="741">
        <v>32748</v>
      </c>
      <c r="E19" s="737">
        <v>266417</v>
      </c>
      <c r="F19" s="741">
        <v>92217</v>
      </c>
      <c r="G19" s="741">
        <v>174200</v>
      </c>
      <c r="H19" s="741">
        <v>0</v>
      </c>
      <c r="I19" s="741">
        <v>3000</v>
      </c>
      <c r="J19" s="741">
        <v>0</v>
      </c>
      <c r="K19" s="741">
        <v>0</v>
      </c>
      <c r="L19" s="741">
        <v>0</v>
      </c>
      <c r="M19" s="741">
        <v>0</v>
      </c>
      <c r="N19" s="741">
        <v>0</v>
      </c>
      <c r="O19" s="650"/>
    </row>
    <row r="20" spans="1:15" ht="21" customHeight="1">
      <c r="A20" s="501" t="s">
        <v>141</v>
      </c>
      <c r="B20" s="430" t="s">
        <v>202</v>
      </c>
      <c r="C20" s="735">
        <v>5306</v>
      </c>
      <c r="D20" s="741">
        <v>0</v>
      </c>
      <c r="E20" s="737">
        <v>5306</v>
      </c>
      <c r="F20" s="741">
        <v>5306</v>
      </c>
      <c r="G20" s="741">
        <v>0</v>
      </c>
      <c r="H20" s="741">
        <v>0</v>
      </c>
      <c r="I20" s="741">
        <v>0</v>
      </c>
      <c r="J20" s="741">
        <v>0</v>
      </c>
      <c r="K20" s="741">
        <v>0</v>
      </c>
      <c r="L20" s="741">
        <v>0</v>
      </c>
      <c r="M20" s="741">
        <v>0</v>
      </c>
      <c r="N20" s="741">
        <v>0</v>
      </c>
      <c r="O20" s="650"/>
    </row>
    <row r="21" spans="1:15" ht="15.75">
      <c r="A21" s="501" t="s">
        <v>143</v>
      </c>
      <c r="B21" s="430" t="s">
        <v>142</v>
      </c>
      <c r="C21" s="735">
        <v>96660650</v>
      </c>
      <c r="D21" s="741">
        <v>8019763</v>
      </c>
      <c r="E21" s="737">
        <v>64154045</v>
      </c>
      <c r="F21" s="741">
        <v>10697566</v>
      </c>
      <c r="G21" s="741">
        <v>53456479</v>
      </c>
      <c r="H21" s="741">
        <v>37752</v>
      </c>
      <c r="I21" s="741">
        <v>854518</v>
      </c>
      <c r="J21" s="741">
        <v>17257613</v>
      </c>
      <c r="K21" s="741">
        <v>38867</v>
      </c>
      <c r="L21" s="741">
        <v>2412288</v>
      </c>
      <c r="M21" s="741">
        <v>0</v>
      </c>
      <c r="N21" s="741">
        <v>3885804</v>
      </c>
      <c r="O21" s="650"/>
    </row>
    <row r="22" spans="1:15" ht="21" customHeight="1">
      <c r="A22" s="501" t="s">
        <v>145</v>
      </c>
      <c r="B22" s="430" t="s">
        <v>144</v>
      </c>
      <c r="C22" s="735">
        <v>101686</v>
      </c>
      <c r="D22" s="741">
        <v>0</v>
      </c>
      <c r="E22" s="737">
        <v>0</v>
      </c>
      <c r="F22" s="741">
        <v>0</v>
      </c>
      <c r="G22" s="741">
        <v>0</v>
      </c>
      <c r="H22" s="741">
        <v>0</v>
      </c>
      <c r="I22" s="741">
        <v>0</v>
      </c>
      <c r="J22" s="741">
        <v>101686</v>
      </c>
      <c r="K22" s="741">
        <v>0</v>
      </c>
      <c r="L22" s="741">
        <v>0</v>
      </c>
      <c r="M22" s="741">
        <v>0</v>
      </c>
      <c r="N22" s="741">
        <v>0</v>
      </c>
      <c r="O22" s="650"/>
    </row>
    <row r="23" spans="1:15" ht="21" customHeight="1">
      <c r="A23" s="501" t="s">
        <v>147</v>
      </c>
      <c r="B23" s="430" t="s">
        <v>146</v>
      </c>
      <c r="C23" s="735">
        <v>142035</v>
      </c>
      <c r="D23" s="741">
        <v>9102</v>
      </c>
      <c r="E23" s="737">
        <v>0</v>
      </c>
      <c r="F23" s="741">
        <v>0</v>
      </c>
      <c r="G23" s="741">
        <v>0</v>
      </c>
      <c r="H23" s="741">
        <v>0</v>
      </c>
      <c r="I23" s="741">
        <v>0</v>
      </c>
      <c r="J23" s="741">
        <v>132933</v>
      </c>
      <c r="K23" s="741">
        <v>0</v>
      </c>
      <c r="L23" s="741">
        <v>0</v>
      </c>
      <c r="M23" s="741">
        <v>0</v>
      </c>
      <c r="N23" s="741">
        <v>0</v>
      </c>
      <c r="O23" s="650"/>
    </row>
    <row r="24" spans="1:15" ht="25.5">
      <c r="A24" s="501" t="s">
        <v>149</v>
      </c>
      <c r="B24" s="432" t="s">
        <v>148</v>
      </c>
      <c r="C24" s="735">
        <v>0</v>
      </c>
      <c r="D24" s="741">
        <v>0</v>
      </c>
      <c r="E24" s="737">
        <v>0</v>
      </c>
      <c r="F24" s="741">
        <v>0</v>
      </c>
      <c r="G24" s="741">
        <v>0</v>
      </c>
      <c r="H24" s="741">
        <v>0</v>
      </c>
      <c r="I24" s="741">
        <v>0</v>
      </c>
      <c r="J24" s="741">
        <v>0</v>
      </c>
      <c r="K24" s="741">
        <v>0</v>
      </c>
      <c r="L24" s="741">
        <v>0</v>
      </c>
      <c r="M24" s="741">
        <v>0</v>
      </c>
      <c r="N24" s="741">
        <v>0</v>
      </c>
      <c r="O24" s="650"/>
    </row>
    <row r="25" spans="1:15" ht="21" customHeight="1">
      <c r="A25" s="501" t="s">
        <v>186</v>
      </c>
      <c r="B25" s="430" t="s">
        <v>150</v>
      </c>
      <c r="C25" s="735">
        <v>120790</v>
      </c>
      <c r="D25" s="741">
        <v>108590</v>
      </c>
      <c r="E25" s="737">
        <v>200</v>
      </c>
      <c r="F25" s="741">
        <v>200</v>
      </c>
      <c r="G25" s="741">
        <v>0</v>
      </c>
      <c r="H25" s="741">
        <v>0</v>
      </c>
      <c r="I25" s="741">
        <v>0</v>
      </c>
      <c r="J25" s="741">
        <v>12000</v>
      </c>
      <c r="K25" s="741">
        <v>0</v>
      </c>
      <c r="L25" s="741">
        <v>0</v>
      </c>
      <c r="M25" s="741">
        <v>0</v>
      </c>
      <c r="N25" s="741">
        <v>0</v>
      </c>
      <c r="O25" s="650"/>
    </row>
    <row r="26" spans="1:15" ht="21" customHeight="1">
      <c r="A26" s="502" t="s">
        <v>53</v>
      </c>
      <c r="B26" s="395" t="s">
        <v>151</v>
      </c>
      <c r="C26" s="735">
        <v>136363422</v>
      </c>
      <c r="D26" s="741">
        <v>7644850</v>
      </c>
      <c r="E26" s="737">
        <v>111005776</v>
      </c>
      <c r="F26" s="741">
        <v>24424424</v>
      </c>
      <c r="G26" s="741">
        <v>86581352</v>
      </c>
      <c r="H26" s="741">
        <v>42322</v>
      </c>
      <c r="I26" s="741">
        <v>1587312</v>
      </c>
      <c r="J26" s="741">
        <v>15786769</v>
      </c>
      <c r="K26" s="741">
        <v>75913</v>
      </c>
      <c r="L26" s="741">
        <v>0</v>
      </c>
      <c r="M26" s="741">
        <v>0</v>
      </c>
      <c r="N26" s="741">
        <v>220480</v>
      </c>
      <c r="O26" s="656"/>
    </row>
    <row r="27" spans="1:15" ht="30.75" customHeight="1">
      <c r="A27" s="528" t="s">
        <v>555</v>
      </c>
      <c r="B27" s="462" t="s">
        <v>203</v>
      </c>
      <c r="C27" s="698">
        <f>SUM(C18:C20)/C17*100</f>
        <v>6.456165412567541</v>
      </c>
      <c r="D27" s="698">
        <f aca="true" t="shared" si="0" ref="D27:N27">SUM(D18:D20)/D17*100</f>
        <v>9.480721817786215</v>
      </c>
      <c r="E27" s="698">
        <f t="shared" si="0"/>
        <v>2.7146901500341984</v>
      </c>
      <c r="F27" s="698">
        <f t="shared" si="0"/>
        <v>3.329013858465809</v>
      </c>
      <c r="G27" s="698">
        <f t="shared" si="0"/>
        <v>2.590812261727191</v>
      </c>
      <c r="H27" s="698">
        <f t="shared" si="0"/>
        <v>2.706046080098964</v>
      </c>
      <c r="I27" s="698">
        <f t="shared" si="0"/>
        <v>39.553689976734496</v>
      </c>
      <c r="J27" s="698">
        <f t="shared" si="0"/>
        <v>12.22417600183412</v>
      </c>
      <c r="K27" s="698">
        <f t="shared" si="0"/>
        <v>4.0747322177797525</v>
      </c>
      <c r="L27" s="698">
        <f t="shared" si="0"/>
        <v>6.840317415691284</v>
      </c>
      <c r="M27" s="698" t="e">
        <f t="shared" si="0"/>
        <v>#DIV/0!</v>
      </c>
      <c r="N27" s="698">
        <f t="shared" si="0"/>
        <v>18.417428226390246</v>
      </c>
      <c r="O27" s="650"/>
    </row>
  </sheetData>
  <sheetProtection/>
  <mergeCells count="20">
    <mergeCell ref="M7:M9"/>
    <mergeCell ref="A1:B1"/>
    <mergeCell ref="A2:C2"/>
    <mergeCell ref="A3:B3"/>
    <mergeCell ref="A6:B9"/>
    <mergeCell ref="C6:C9"/>
    <mergeCell ref="K7:K9"/>
    <mergeCell ref="J7:J9"/>
    <mergeCell ref="E7:G7"/>
    <mergeCell ref="E8:E9"/>
    <mergeCell ref="D7:D9"/>
    <mergeCell ref="D2:I2"/>
    <mergeCell ref="D3:I3"/>
    <mergeCell ref="A10:B10"/>
    <mergeCell ref="H7:H9"/>
    <mergeCell ref="I7:I9"/>
    <mergeCell ref="F8:G8"/>
    <mergeCell ref="D6:N6"/>
    <mergeCell ref="L7:L9"/>
    <mergeCell ref="N7:N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85" zoomScaleNormal="80" zoomScaleSheetLayoutView="85" zoomScalePageLayoutView="0" workbookViewId="0" topLeftCell="A10">
      <selection activeCell="C30" sqref="C30"/>
    </sheetView>
  </sheetViews>
  <sheetFormatPr defaultColWidth="9.00390625" defaultRowHeight="15.75"/>
  <cols>
    <col min="1" max="1" width="4.25390625" style="422" customWidth="1"/>
    <col min="2" max="2" width="46.875" style="422" customWidth="1"/>
    <col min="3" max="3" width="39.625" style="422" customWidth="1"/>
    <col min="4" max="4" width="1.00390625" style="422" customWidth="1"/>
    <col min="5" max="16384" width="9.00390625" style="422" customWidth="1"/>
  </cols>
  <sheetData>
    <row r="1" spans="1:3" s="436" customFormat="1" ht="36" customHeight="1">
      <c r="A1" s="1260" t="s">
        <v>205</v>
      </c>
      <c r="B1" s="1261"/>
      <c r="C1" s="1261"/>
    </row>
    <row r="2" spans="1:3" s="444" customFormat="1" ht="21.75" customHeight="1">
      <c r="A2" s="1272" t="s">
        <v>70</v>
      </c>
      <c r="B2" s="1273"/>
      <c r="C2" s="463" t="s">
        <v>342</v>
      </c>
    </row>
    <row r="3" spans="1:3" s="444" customFormat="1" ht="24.75" customHeight="1">
      <c r="A3" s="1274" t="s">
        <v>6</v>
      </c>
      <c r="B3" s="1275"/>
      <c r="C3" s="19">
        <v>1</v>
      </c>
    </row>
    <row r="4" spans="1:3" ht="21" customHeight="1">
      <c r="A4" s="441" t="s">
        <v>52</v>
      </c>
      <c r="B4" s="515" t="s">
        <v>569</v>
      </c>
      <c r="C4" s="404">
        <f>SUM(C5:C11)</f>
        <v>101686</v>
      </c>
    </row>
    <row r="5" spans="1:3" s="26" customFormat="1" ht="21" customHeight="1">
      <c r="A5" s="446" t="s">
        <v>54</v>
      </c>
      <c r="B5" s="516" t="s">
        <v>153</v>
      </c>
      <c r="C5" s="409">
        <v>0</v>
      </c>
    </row>
    <row r="6" spans="1:3" s="26" customFormat="1" ht="21" customHeight="1">
      <c r="A6" s="446" t="s">
        <v>55</v>
      </c>
      <c r="B6" s="516" t="s">
        <v>154</v>
      </c>
      <c r="C6" s="409">
        <v>0</v>
      </c>
    </row>
    <row r="7" spans="1:3" s="26" customFormat="1" ht="21" customHeight="1">
      <c r="A7" s="446" t="s">
        <v>141</v>
      </c>
      <c r="B7" s="516" t="s">
        <v>155</v>
      </c>
      <c r="C7" s="409">
        <v>0</v>
      </c>
    </row>
    <row r="8" spans="1:3" s="26" customFormat="1" ht="21" customHeight="1">
      <c r="A8" s="446" t="s">
        <v>143</v>
      </c>
      <c r="B8" s="516" t="s">
        <v>156</v>
      </c>
      <c r="C8" s="409">
        <v>101686</v>
      </c>
    </row>
    <row r="9" spans="1:3" s="26" customFormat="1" ht="21" customHeight="1">
      <c r="A9" s="446" t="s">
        <v>145</v>
      </c>
      <c r="B9" s="516" t="s">
        <v>157</v>
      </c>
      <c r="C9" s="409">
        <v>0</v>
      </c>
    </row>
    <row r="10" spans="1:3" s="26" customFormat="1" ht="21" customHeight="1">
      <c r="A10" s="446" t="s">
        <v>147</v>
      </c>
      <c r="B10" s="516" t="s">
        <v>158</v>
      </c>
      <c r="C10" s="409"/>
    </row>
    <row r="11" spans="1:3" s="26" customFormat="1" ht="21" customHeight="1">
      <c r="A11" s="446" t="s">
        <v>149</v>
      </c>
      <c r="B11" s="516" t="s">
        <v>160</v>
      </c>
      <c r="C11" s="409"/>
    </row>
    <row r="12" spans="1:3" s="447" customFormat="1" ht="21" customHeight="1">
      <c r="A12" s="441" t="s">
        <v>53</v>
      </c>
      <c r="B12" s="515" t="s">
        <v>565</v>
      </c>
      <c r="C12" s="404">
        <f>SUM(C13:C14)</f>
        <v>142035</v>
      </c>
    </row>
    <row r="13" spans="1:3" s="26" customFormat="1" ht="21" customHeight="1">
      <c r="A13" s="445" t="s">
        <v>56</v>
      </c>
      <c r="B13" s="516" t="s">
        <v>159</v>
      </c>
      <c r="C13" s="409">
        <v>142035</v>
      </c>
    </row>
    <row r="14" spans="1:3" ht="21" customHeight="1">
      <c r="A14" s="446" t="s">
        <v>57</v>
      </c>
      <c r="B14" s="516" t="s">
        <v>160</v>
      </c>
      <c r="C14" s="409"/>
    </row>
    <row r="15" spans="1:3" ht="21" customHeight="1">
      <c r="A15" s="441" t="s">
        <v>58</v>
      </c>
      <c r="B15" s="529" t="s">
        <v>150</v>
      </c>
      <c r="C15" s="404">
        <f>SUM(C16:C18)</f>
        <v>120790</v>
      </c>
    </row>
    <row r="16" spans="1:3" ht="21" customHeight="1">
      <c r="A16" s="446" t="s">
        <v>161</v>
      </c>
      <c r="B16" s="516" t="s">
        <v>189</v>
      </c>
      <c r="C16" s="409">
        <v>14480</v>
      </c>
    </row>
    <row r="17" spans="1:3" s="26" customFormat="1" ht="30">
      <c r="A17" s="446" t="s">
        <v>163</v>
      </c>
      <c r="B17" s="516" t="s">
        <v>164</v>
      </c>
      <c r="C17" s="409">
        <v>106310</v>
      </c>
    </row>
    <row r="18" spans="1:3" s="26" customFormat="1" ht="21" customHeight="1">
      <c r="A18" s="446" t="s">
        <v>165</v>
      </c>
      <c r="B18" s="516" t="s">
        <v>166</v>
      </c>
      <c r="C18" s="409">
        <v>0</v>
      </c>
    </row>
    <row r="19" spans="1:4" s="26" customFormat="1" ht="21" customHeight="1">
      <c r="A19" s="441" t="s">
        <v>73</v>
      </c>
      <c r="B19" s="515" t="s">
        <v>570</v>
      </c>
      <c r="C19" s="404">
        <f>SUM(C20:C25)</f>
        <v>302165</v>
      </c>
      <c r="D19" s="657">
        <v>0</v>
      </c>
    </row>
    <row r="20" spans="1:3" s="26" customFormat="1" ht="21" customHeight="1">
      <c r="A20" s="446" t="s">
        <v>167</v>
      </c>
      <c r="B20" s="516" t="s">
        <v>168</v>
      </c>
      <c r="C20" s="409">
        <v>125855</v>
      </c>
    </row>
    <row r="21" spans="1:3" s="26" customFormat="1" ht="21" customHeight="1">
      <c r="A21" s="446" t="s">
        <v>169</v>
      </c>
      <c r="B21" s="516" t="s">
        <v>170</v>
      </c>
      <c r="C21" s="409">
        <v>0</v>
      </c>
    </row>
    <row r="22" spans="1:3" s="26" customFormat="1" ht="21" customHeight="1">
      <c r="A22" s="446" t="s">
        <v>171</v>
      </c>
      <c r="B22" s="516" t="s">
        <v>172</v>
      </c>
      <c r="C22" s="409">
        <v>0</v>
      </c>
    </row>
    <row r="23" spans="1:3" s="26" customFormat="1" ht="21" customHeight="1">
      <c r="A23" s="446" t="s">
        <v>173</v>
      </c>
      <c r="B23" s="516" t="s">
        <v>156</v>
      </c>
      <c r="C23" s="409">
        <v>608</v>
      </c>
    </row>
    <row r="24" spans="1:3" s="26" customFormat="1" ht="21" customHeight="1">
      <c r="A24" s="446" t="s">
        <v>174</v>
      </c>
      <c r="B24" s="516" t="s">
        <v>204</v>
      </c>
      <c r="C24" s="409">
        <v>175702</v>
      </c>
    </row>
    <row r="25" spans="1:3" s="26" customFormat="1" ht="21" customHeight="1">
      <c r="A25" s="446" t="s">
        <v>175</v>
      </c>
      <c r="B25" s="516" t="s">
        <v>176</v>
      </c>
      <c r="C25" s="409">
        <v>0</v>
      </c>
    </row>
    <row r="26" spans="1:3" s="26" customFormat="1" ht="21" customHeight="1">
      <c r="A26" s="441" t="s">
        <v>74</v>
      </c>
      <c r="B26" s="515" t="s">
        <v>568</v>
      </c>
      <c r="C26" s="404">
        <f>SUM(C27:C29)</f>
        <v>136363422</v>
      </c>
    </row>
    <row r="27" spans="1:4" s="26" customFormat="1" ht="21" customHeight="1">
      <c r="A27" s="446" t="s">
        <v>177</v>
      </c>
      <c r="B27" s="516" t="s">
        <v>168</v>
      </c>
      <c r="C27" s="409">
        <v>102011051</v>
      </c>
      <c r="D27" s="664"/>
    </row>
    <row r="28" spans="1:4" ht="21" customHeight="1">
      <c r="A28" s="446" t="s">
        <v>178</v>
      </c>
      <c r="B28" s="516" t="s">
        <v>170</v>
      </c>
      <c r="C28" s="409">
        <v>9000</v>
      </c>
      <c r="D28" s="664"/>
    </row>
    <row r="29" spans="1:4" s="26" customFormat="1" ht="21" customHeight="1">
      <c r="A29" s="446" t="s">
        <v>179</v>
      </c>
      <c r="B29" s="516" t="s">
        <v>180</v>
      </c>
      <c r="C29" s="409">
        <v>34343371</v>
      </c>
      <c r="D29" s="664"/>
    </row>
    <row r="30" spans="1:3" s="444" customFormat="1" ht="27" customHeight="1">
      <c r="A30" s="1271"/>
      <c r="B30" s="1271"/>
      <c r="C30" s="530" t="str">
        <f>'Thong tin'!B8</f>
        <v>Hải Phòng, ngày 04 tháng 01 năm 2018</v>
      </c>
    </row>
    <row r="31" spans="1:3" s="444" customFormat="1" ht="15.75" customHeight="1">
      <c r="A31" s="1258" t="s">
        <v>181</v>
      </c>
      <c r="B31" s="1258"/>
      <c r="C31" s="518" t="str">
        <f>'Thong tin'!B7</f>
        <v>
PHÓ CỤC TRƯỞNG</v>
      </c>
    </row>
    <row r="32" spans="1:3" s="466" customFormat="1" ht="18.75">
      <c r="A32" s="531"/>
      <c r="B32" s="532"/>
      <c r="C32" s="533"/>
    </row>
    <row r="33" spans="1:3" s="444" customFormat="1" ht="15.75" customHeight="1">
      <c r="A33" s="531"/>
      <c r="B33" s="534"/>
      <c r="C33" s="531"/>
    </row>
    <row r="34" spans="1:3" s="444" customFormat="1" ht="15.75" customHeight="1">
      <c r="A34" s="531"/>
      <c r="B34" s="534"/>
      <c r="C34" s="531"/>
    </row>
    <row r="35" spans="1:3" s="444" customFormat="1" ht="15.75" customHeight="1">
      <c r="A35" s="531"/>
      <c r="B35" s="535"/>
      <c r="C35" s="533"/>
    </row>
    <row r="36" spans="1:3" s="444" customFormat="1" ht="15.75" customHeight="1">
      <c r="A36" s="531"/>
      <c r="B36" s="534"/>
      <c r="C36" s="531"/>
    </row>
    <row r="37" spans="1:3" s="444" customFormat="1" ht="18.75" hidden="1">
      <c r="A37" s="536" t="s">
        <v>47</v>
      </c>
      <c r="B37" s="537"/>
      <c r="C37" s="537"/>
    </row>
    <row r="38" spans="1:3" s="444" customFormat="1" ht="18.75" hidden="1">
      <c r="A38" s="531"/>
      <c r="B38" s="531" t="s">
        <v>50</v>
      </c>
      <c r="C38" s="531"/>
    </row>
    <row r="39" spans="1:3" s="444" customFormat="1" ht="18.75" hidden="1">
      <c r="A39" s="531"/>
      <c r="B39" s="531" t="s">
        <v>64</v>
      </c>
      <c r="C39" s="531"/>
    </row>
    <row r="40" spans="1:3" s="444" customFormat="1" ht="18.75" hidden="1">
      <c r="A40" s="531"/>
      <c r="B40" s="531" t="s">
        <v>62</v>
      </c>
      <c r="C40" s="531"/>
    </row>
    <row r="41" spans="1:3" s="444" customFormat="1" ht="18.75" hidden="1">
      <c r="A41" s="531"/>
      <c r="B41" s="531" t="s">
        <v>65</v>
      </c>
      <c r="C41" s="531"/>
    </row>
    <row r="42" spans="1:3" s="444" customFormat="1" ht="18.75">
      <c r="A42" s="531"/>
      <c r="B42" s="531"/>
      <c r="C42" s="531"/>
    </row>
    <row r="43" spans="1:3" s="444" customFormat="1" ht="18.75">
      <c r="A43" s="1258" t="str">
        <f>'Thong tin'!B5</f>
        <v>Trần Thị Minh</v>
      </c>
      <c r="B43" s="1258"/>
      <c r="C43" s="526" t="str">
        <f>'Thong tin'!B6</f>
        <v>Nguyễn Thị Mai Hoa</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5" zoomScaleNormal="85" zoomScaleSheetLayoutView="85" zoomScalePageLayoutView="0" workbookViewId="0" topLeftCell="A1">
      <selection activeCell="C11" sqref="C11:O25"/>
    </sheetView>
  </sheetViews>
  <sheetFormatPr defaultColWidth="9.00390625" defaultRowHeight="15.75"/>
  <cols>
    <col min="1" max="1" width="3.00390625" style="436" customWidth="1"/>
    <col min="2" max="2" width="22.50390625" style="388" customWidth="1"/>
    <col min="3" max="3" width="11.75390625" style="388" customWidth="1"/>
    <col min="4" max="4" width="10.50390625" style="388" customWidth="1"/>
    <col min="5" max="5" width="9.50390625" style="388" customWidth="1"/>
    <col min="6" max="6" width="7.00390625" style="388" customWidth="1"/>
    <col min="7" max="7" width="10.375" style="388" customWidth="1"/>
    <col min="8" max="8" width="5.875" style="388" customWidth="1"/>
    <col min="9" max="9" width="8.75390625" style="388" customWidth="1"/>
    <col min="10" max="10" width="12.125" style="388" customWidth="1"/>
    <col min="11" max="11" width="7.125" style="388" customWidth="1"/>
    <col min="12" max="12" width="4.25390625" style="388" customWidth="1"/>
    <col min="13" max="13" width="7.125" style="388" customWidth="1"/>
    <col min="14" max="14" width="5.25390625" style="388" customWidth="1"/>
    <col min="15" max="15" width="8.75390625" style="733" customWidth="1"/>
    <col min="16" max="16384" width="9.00390625" style="388" customWidth="1"/>
  </cols>
  <sheetData>
    <row r="1" spans="1:17" ht="24.75" customHeight="1">
      <c r="A1" s="1240" t="s">
        <v>32</v>
      </c>
      <c r="B1" s="1240"/>
      <c r="C1" s="414"/>
      <c r="D1" s="1241" t="s">
        <v>194</v>
      </c>
      <c r="E1" s="1241"/>
      <c r="F1" s="1241"/>
      <c r="G1" s="1241"/>
      <c r="H1" s="1241"/>
      <c r="I1" s="1241"/>
      <c r="J1" s="1241"/>
      <c r="K1" s="1241"/>
      <c r="L1" s="1231" t="s">
        <v>557</v>
      </c>
      <c r="M1" s="1231"/>
      <c r="N1" s="1231"/>
      <c r="O1" s="1231"/>
      <c r="P1" s="413"/>
      <c r="Q1" s="413"/>
    </row>
    <row r="2" spans="1:17" ht="16.5" customHeight="1">
      <c r="A2" s="1270" t="s">
        <v>344</v>
      </c>
      <c r="B2" s="1270"/>
      <c r="C2" s="1270"/>
      <c r="D2" s="1241" t="s">
        <v>183</v>
      </c>
      <c r="E2" s="1241"/>
      <c r="F2" s="1241"/>
      <c r="G2" s="1241"/>
      <c r="H2" s="1241"/>
      <c r="I2" s="1241"/>
      <c r="J2" s="1241"/>
      <c r="K2" s="1241"/>
      <c r="L2" s="1232" t="str">
        <f>'Thong tin'!B4</f>
        <v>CTHADS Hải Phòng</v>
      </c>
      <c r="M2" s="1232"/>
      <c r="N2" s="1232"/>
      <c r="O2" s="1232"/>
      <c r="P2" s="413"/>
      <c r="Q2" s="423"/>
    </row>
    <row r="3" spans="1:17" ht="16.5" customHeight="1">
      <c r="A3" s="1270" t="s">
        <v>345</v>
      </c>
      <c r="B3" s="1270"/>
      <c r="C3" s="413"/>
      <c r="D3" s="1236" t="str">
        <f>'Thong tin'!B3</f>
        <v>03 tháng / năm 2018</v>
      </c>
      <c r="E3" s="1236"/>
      <c r="F3" s="1236"/>
      <c r="G3" s="1236"/>
      <c r="H3" s="1236"/>
      <c r="I3" s="1236"/>
      <c r="J3" s="1236"/>
      <c r="K3" s="1236"/>
      <c r="L3" s="1231" t="s">
        <v>523</v>
      </c>
      <c r="M3" s="1231"/>
      <c r="N3" s="1231"/>
      <c r="O3" s="1231"/>
      <c r="P3" s="413"/>
      <c r="Q3" s="455"/>
    </row>
    <row r="4" spans="1:17" ht="16.5" customHeight="1">
      <c r="A4" s="417" t="s">
        <v>119</v>
      </c>
      <c r="B4" s="418"/>
      <c r="C4" s="419"/>
      <c r="D4" s="420"/>
      <c r="E4" s="420"/>
      <c r="F4" s="419"/>
      <c r="G4" s="421"/>
      <c r="H4" s="421"/>
      <c r="I4" s="421"/>
      <c r="J4" s="419"/>
      <c r="K4" s="420"/>
      <c r="L4" s="1232" t="s">
        <v>412</v>
      </c>
      <c r="M4" s="1232"/>
      <c r="N4" s="1232"/>
      <c r="O4" s="1232"/>
      <c r="P4" s="413"/>
      <c r="Q4" s="455"/>
    </row>
    <row r="5" spans="1:17" ht="16.5" customHeight="1">
      <c r="A5" s="422"/>
      <c r="B5" s="419"/>
      <c r="C5" s="419"/>
      <c r="D5" s="419"/>
      <c r="E5" s="419"/>
      <c r="F5" s="423"/>
      <c r="G5" s="424"/>
      <c r="H5" s="424"/>
      <c r="I5" s="424"/>
      <c r="J5" s="423"/>
      <c r="K5" s="425"/>
      <c r="L5" s="425"/>
      <c r="M5" s="425" t="s">
        <v>195</v>
      </c>
      <c r="N5" s="467"/>
      <c r="O5" s="730"/>
      <c r="P5" s="413"/>
      <c r="Q5" s="455"/>
    </row>
    <row r="6" spans="1:17" ht="18.75" customHeight="1">
      <c r="A6" s="1216" t="s">
        <v>69</v>
      </c>
      <c r="B6" s="1217"/>
      <c r="C6" s="1222" t="s">
        <v>38</v>
      </c>
      <c r="D6" s="1222" t="s">
        <v>337</v>
      </c>
      <c r="E6" s="1224"/>
      <c r="F6" s="1224"/>
      <c r="G6" s="1224"/>
      <c r="H6" s="1224"/>
      <c r="I6" s="1224"/>
      <c r="J6" s="1224"/>
      <c r="K6" s="1224"/>
      <c r="L6" s="1224"/>
      <c r="M6" s="1224"/>
      <c r="N6" s="1224"/>
      <c r="O6" s="1225"/>
      <c r="P6" s="452"/>
      <c r="Q6" s="457"/>
    </row>
    <row r="7" spans="1:17" ht="20.25" customHeight="1">
      <c r="A7" s="1218"/>
      <c r="B7" s="1219"/>
      <c r="C7" s="1223"/>
      <c r="D7" s="1226" t="s">
        <v>120</v>
      </c>
      <c r="E7" s="1228" t="s">
        <v>121</v>
      </c>
      <c r="F7" s="1229"/>
      <c r="G7" s="1230"/>
      <c r="H7" s="1234" t="s">
        <v>122</v>
      </c>
      <c r="I7" s="1234" t="s">
        <v>123</v>
      </c>
      <c r="J7" s="1234" t="s">
        <v>199</v>
      </c>
      <c r="K7" s="1234" t="s">
        <v>125</v>
      </c>
      <c r="L7" s="1234" t="s">
        <v>126</v>
      </c>
      <c r="M7" s="1234" t="s">
        <v>127</v>
      </c>
      <c r="N7" s="1234" t="s">
        <v>184</v>
      </c>
      <c r="O7" s="1277" t="s">
        <v>128</v>
      </c>
      <c r="P7" s="455"/>
      <c r="Q7" s="455"/>
    </row>
    <row r="8" spans="1:17" ht="21.75" customHeight="1">
      <c r="A8" s="1218"/>
      <c r="B8" s="1219"/>
      <c r="C8" s="1223"/>
      <c r="D8" s="1226"/>
      <c r="E8" s="1239" t="s">
        <v>37</v>
      </c>
      <c r="F8" s="1243" t="s">
        <v>7</v>
      </c>
      <c r="G8" s="1244"/>
      <c r="H8" s="1234"/>
      <c r="I8" s="1234"/>
      <c r="J8" s="1234"/>
      <c r="K8" s="1234"/>
      <c r="L8" s="1234"/>
      <c r="M8" s="1234"/>
      <c r="N8" s="1234"/>
      <c r="O8" s="1277"/>
      <c r="P8" s="1276"/>
      <c r="Q8" s="1276"/>
    </row>
    <row r="9" spans="1:17" ht="47.25" customHeight="1">
      <c r="A9" s="1220"/>
      <c r="B9" s="1221"/>
      <c r="C9" s="1223"/>
      <c r="D9" s="1227"/>
      <c r="E9" s="1235"/>
      <c r="F9" s="547" t="s">
        <v>200</v>
      </c>
      <c r="G9" s="548" t="s">
        <v>201</v>
      </c>
      <c r="H9" s="1235"/>
      <c r="I9" s="1235"/>
      <c r="J9" s="1235"/>
      <c r="K9" s="1235"/>
      <c r="L9" s="1235"/>
      <c r="M9" s="1235"/>
      <c r="N9" s="1235"/>
      <c r="O9" s="1278"/>
      <c r="P9" s="458"/>
      <c r="Q9" s="458"/>
    </row>
    <row r="10" spans="1:17" s="393" customFormat="1" ht="22.5" customHeight="1">
      <c r="A10" s="1237" t="s">
        <v>40</v>
      </c>
      <c r="B10" s="1238"/>
      <c r="C10" s="499">
        <v>1</v>
      </c>
      <c r="D10" s="499">
        <v>2</v>
      </c>
      <c r="E10" s="499">
        <v>3</v>
      </c>
      <c r="F10" s="499">
        <v>4</v>
      </c>
      <c r="G10" s="499">
        <v>5</v>
      </c>
      <c r="H10" s="499">
        <v>6</v>
      </c>
      <c r="I10" s="499">
        <v>7</v>
      </c>
      <c r="J10" s="499">
        <v>8</v>
      </c>
      <c r="K10" s="499">
        <v>9</v>
      </c>
      <c r="L10" s="499">
        <v>10</v>
      </c>
      <c r="M10" s="499">
        <v>11</v>
      </c>
      <c r="N10" s="499">
        <v>12</v>
      </c>
      <c r="O10" s="731">
        <v>13</v>
      </c>
      <c r="P10" s="468"/>
      <c r="Q10" s="468"/>
    </row>
    <row r="11" spans="1:17" ht="21" customHeight="1">
      <c r="A11" s="500" t="s">
        <v>0</v>
      </c>
      <c r="B11" s="427" t="s">
        <v>131</v>
      </c>
      <c r="C11" s="735">
        <v>4745371972</v>
      </c>
      <c r="D11" s="735">
        <v>363371877</v>
      </c>
      <c r="E11" s="735">
        <v>564997440</v>
      </c>
      <c r="F11" s="735">
        <v>15204</v>
      </c>
      <c r="G11" s="735">
        <v>564982236</v>
      </c>
      <c r="H11" s="735">
        <v>0</v>
      </c>
      <c r="I11" s="735">
        <v>7001391</v>
      </c>
      <c r="J11" s="735">
        <v>3773710095</v>
      </c>
      <c r="K11" s="735">
        <v>2709642</v>
      </c>
      <c r="L11" s="735">
        <v>0</v>
      </c>
      <c r="M11" s="735">
        <v>33581527</v>
      </c>
      <c r="N11" s="735">
        <v>0</v>
      </c>
      <c r="O11" s="735">
        <v>0</v>
      </c>
      <c r="P11" s="457">
        <f>C11-D11-E11-I11-J11-K11-M11</f>
        <v>0</v>
      </c>
      <c r="Q11" s="457"/>
    </row>
    <row r="12" spans="1:17" ht="21" customHeight="1">
      <c r="A12" s="501">
        <v>1</v>
      </c>
      <c r="B12" s="430" t="s">
        <v>132</v>
      </c>
      <c r="C12" s="744">
        <v>3009496843</v>
      </c>
      <c r="D12" s="736">
        <v>313906082</v>
      </c>
      <c r="E12" s="736">
        <v>100899521</v>
      </c>
      <c r="F12" s="736">
        <v>15204</v>
      </c>
      <c r="G12" s="736">
        <v>100884317</v>
      </c>
      <c r="H12" s="736">
        <v>0</v>
      </c>
      <c r="I12" s="736">
        <v>3128348</v>
      </c>
      <c r="J12" s="736">
        <v>2589015080</v>
      </c>
      <c r="K12" s="736">
        <v>1898217</v>
      </c>
      <c r="L12" s="736">
        <v>0</v>
      </c>
      <c r="M12" s="736">
        <v>649595</v>
      </c>
      <c r="N12" s="736">
        <v>0</v>
      </c>
      <c r="O12" s="736">
        <v>0</v>
      </c>
      <c r="P12" s="457">
        <f aca="true" t="shared" si="0" ref="P12:P25">C12-D12-E12-I12-J12-K12-M12</f>
        <v>0</v>
      </c>
      <c r="Q12" s="455"/>
    </row>
    <row r="13" spans="1:17" ht="21" customHeight="1">
      <c r="A13" s="501">
        <v>2</v>
      </c>
      <c r="B13" s="430" t="s">
        <v>133</v>
      </c>
      <c r="C13" s="744">
        <v>1735875129</v>
      </c>
      <c r="D13" s="736">
        <v>49465795</v>
      </c>
      <c r="E13" s="736">
        <v>464097919</v>
      </c>
      <c r="F13" s="736">
        <v>0</v>
      </c>
      <c r="G13" s="736">
        <v>464097919</v>
      </c>
      <c r="H13" s="736">
        <v>0</v>
      </c>
      <c r="I13" s="736">
        <v>3873043</v>
      </c>
      <c r="J13" s="736">
        <v>1184695015</v>
      </c>
      <c r="K13" s="736">
        <v>811425</v>
      </c>
      <c r="L13" s="736">
        <v>0</v>
      </c>
      <c r="M13" s="736">
        <v>32931932</v>
      </c>
      <c r="N13" s="736">
        <v>0</v>
      </c>
      <c r="O13" s="736">
        <v>0</v>
      </c>
      <c r="P13" s="457">
        <f t="shared" si="0"/>
        <v>0</v>
      </c>
      <c r="Q13" s="455"/>
    </row>
    <row r="14" spans="1:17" ht="21" customHeight="1">
      <c r="A14" s="502" t="s">
        <v>1</v>
      </c>
      <c r="B14" s="395" t="s">
        <v>134</v>
      </c>
      <c r="C14" s="744">
        <v>4519110</v>
      </c>
      <c r="D14" s="736">
        <v>1166594</v>
      </c>
      <c r="E14" s="736">
        <v>115700</v>
      </c>
      <c r="F14" s="736">
        <v>0</v>
      </c>
      <c r="G14" s="736">
        <v>115700</v>
      </c>
      <c r="H14" s="736">
        <v>0</v>
      </c>
      <c r="I14" s="736">
        <v>0</v>
      </c>
      <c r="J14" s="736">
        <v>3236816</v>
      </c>
      <c r="K14" s="736">
        <v>0</v>
      </c>
      <c r="L14" s="736">
        <v>0</v>
      </c>
      <c r="M14" s="736">
        <v>0</v>
      </c>
      <c r="N14" s="736">
        <v>0</v>
      </c>
      <c r="O14" s="736">
        <v>0</v>
      </c>
      <c r="P14" s="457">
        <f t="shared" si="0"/>
        <v>0</v>
      </c>
      <c r="Q14" s="455"/>
    </row>
    <row r="15" spans="1:17" ht="21" customHeight="1">
      <c r="A15" s="502" t="s">
        <v>9</v>
      </c>
      <c r="B15" s="395" t="s">
        <v>135</v>
      </c>
      <c r="C15" s="744">
        <v>8992536</v>
      </c>
      <c r="D15" s="736">
        <v>0</v>
      </c>
      <c r="E15" s="736">
        <v>0</v>
      </c>
      <c r="F15" s="736">
        <v>0</v>
      </c>
      <c r="G15" s="736">
        <v>0</v>
      </c>
      <c r="H15" s="736">
        <v>0</v>
      </c>
      <c r="I15" s="736">
        <v>0</v>
      </c>
      <c r="J15" s="736">
        <v>8992536</v>
      </c>
      <c r="K15" s="736">
        <v>0</v>
      </c>
      <c r="L15" s="736">
        <v>0</v>
      </c>
      <c r="M15" s="736">
        <v>0</v>
      </c>
      <c r="N15" s="736">
        <v>0</v>
      </c>
      <c r="O15" s="736">
        <v>0</v>
      </c>
      <c r="P15" s="457">
        <f t="shared" si="0"/>
        <v>0</v>
      </c>
      <c r="Q15" s="455"/>
    </row>
    <row r="16" spans="1:17" ht="21" customHeight="1">
      <c r="A16" s="502" t="s">
        <v>136</v>
      </c>
      <c r="B16" s="395" t="s">
        <v>137</v>
      </c>
      <c r="C16" s="735">
        <v>4740852862</v>
      </c>
      <c r="D16" s="735">
        <v>362205283</v>
      </c>
      <c r="E16" s="735">
        <v>564881740</v>
      </c>
      <c r="F16" s="735">
        <v>15204</v>
      </c>
      <c r="G16" s="735">
        <v>564866536</v>
      </c>
      <c r="H16" s="735">
        <v>0</v>
      </c>
      <c r="I16" s="735">
        <v>7001391</v>
      </c>
      <c r="J16" s="735">
        <v>3770473279</v>
      </c>
      <c r="K16" s="735">
        <v>2709642</v>
      </c>
      <c r="L16" s="735">
        <v>0</v>
      </c>
      <c r="M16" s="735">
        <v>33581527</v>
      </c>
      <c r="N16" s="735">
        <v>0</v>
      </c>
      <c r="O16" s="735">
        <v>0</v>
      </c>
      <c r="P16" s="457">
        <f t="shared" si="0"/>
        <v>0</v>
      </c>
      <c r="Q16" s="452"/>
    </row>
    <row r="17" spans="1:17" ht="21" customHeight="1">
      <c r="A17" s="502" t="s">
        <v>52</v>
      </c>
      <c r="B17" s="431" t="s">
        <v>138</v>
      </c>
      <c r="C17" s="735">
        <v>3265958298</v>
      </c>
      <c r="D17" s="735">
        <v>281841963</v>
      </c>
      <c r="E17" s="735">
        <v>482974627</v>
      </c>
      <c r="F17" s="735">
        <v>15204</v>
      </c>
      <c r="G17" s="735">
        <v>482959423</v>
      </c>
      <c r="H17" s="735">
        <v>0</v>
      </c>
      <c r="I17" s="735">
        <v>6389713</v>
      </c>
      <c r="J17" s="735">
        <v>2458586424</v>
      </c>
      <c r="K17" s="735">
        <v>2709642</v>
      </c>
      <c r="L17" s="735">
        <v>0</v>
      </c>
      <c r="M17" s="735">
        <v>33455929</v>
      </c>
      <c r="N17" s="735">
        <v>0</v>
      </c>
      <c r="O17" s="735">
        <v>0</v>
      </c>
      <c r="P17" s="457">
        <f t="shared" si="0"/>
        <v>0</v>
      </c>
      <c r="Q17" s="452"/>
    </row>
    <row r="18" spans="1:17" ht="21" customHeight="1">
      <c r="A18" s="501" t="s">
        <v>54</v>
      </c>
      <c r="B18" s="430" t="s">
        <v>139</v>
      </c>
      <c r="C18" s="744">
        <v>117265626</v>
      </c>
      <c r="D18" s="741">
        <v>32471779</v>
      </c>
      <c r="E18" s="736">
        <v>241940</v>
      </c>
      <c r="F18" s="741">
        <v>0</v>
      </c>
      <c r="G18" s="741">
        <v>241940</v>
      </c>
      <c r="H18" s="741">
        <v>0</v>
      </c>
      <c r="I18" s="741">
        <v>280500</v>
      </c>
      <c r="J18" s="741">
        <v>84220344</v>
      </c>
      <c r="K18" s="741">
        <v>51063</v>
      </c>
      <c r="L18" s="741">
        <v>0</v>
      </c>
      <c r="M18" s="741">
        <v>0</v>
      </c>
      <c r="N18" s="741">
        <v>0</v>
      </c>
      <c r="O18" s="741">
        <v>0</v>
      </c>
      <c r="P18" s="457">
        <f t="shared" si="0"/>
        <v>0</v>
      </c>
      <c r="Q18" s="413"/>
    </row>
    <row r="19" spans="1:17" ht="21" customHeight="1">
      <c r="A19" s="501" t="s">
        <v>55</v>
      </c>
      <c r="B19" s="430" t="s">
        <v>140</v>
      </c>
      <c r="C19" s="744">
        <v>8790929</v>
      </c>
      <c r="D19" s="741">
        <v>3815570</v>
      </c>
      <c r="E19" s="736">
        <v>1900</v>
      </c>
      <c r="F19" s="741">
        <v>0</v>
      </c>
      <c r="G19" s="741">
        <v>1900</v>
      </c>
      <c r="H19" s="741">
        <v>0</v>
      </c>
      <c r="I19" s="741">
        <v>212776</v>
      </c>
      <c r="J19" s="741">
        <v>4760683</v>
      </c>
      <c r="K19" s="741">
        <v>0</v>
      </c>
      <c r="L19" s="741">
        <v>0</v>
      </c>
      <c r="M19" s="741">
        <v>0</v>
      </c>
      <c r="N19" s="741">
        <v>0</v>
      </c>
      <c r="O19" s="741">
        <v>0</v>
      </c>
      <c r="P19" s="457">
        <f t="shared" si="0"/>
        <v>0</v>
      </c>
      <c r="Q19" s="413"/>
    </row>
    <row r="20" spans="1:17" ht="21" customHeight="1">
      <c r="A20" s="501" t="s">
        <v>141</v>
      </c>
      <c r="B20" s="430" t="s">
        <v>142</v>
      </c>
      <c r="C20" s="744">
        <v>3096132177</v>
      </c>
      <c r="D20" s="741">
        <v>243811349</v>
      </c>
      <c r="E20" s="736">
        <v>482034888</v>
      </c>
      <c r="F20" s="741">
        <v>15204</v>
      </c>
      <c r="G20" s="741">
        <v>482019684</v>
      </c>
      <c r="H20" s="741">
        <v>0</v>
      </c>
      <c r="I20" s="741">
        <v>5896437</v>
      </c>
      <c r="J20" s="741">
        <v>2328538678</v>
      </c>
      <c r="K20" s="741">
        <v>2394896</v>
      </c>
      <c r="L20" s="741">
        <v>0</v>
      </c>
      <c r="M20" s="741">
        <v>33455929</v>
      </c>
      <c r="N20" s="741">
        <v>0</v>
      </c>
      <c r="O20" s="741">
        <v>0</v>
      </c>
      <c r="P20" s="457">
        <f t="shared" si="0"/>
        <v>0</v>
      </c>
      <c r="Q20" s="413"/>
    </row>
    <row r="21" spans="1:17" ht="21" customHeight="1">
      <c r="A21" s="501" t="s">
        <v>143</v>
      </c>
      <c r="B21" s="430" t="s">
        <v>144</v>
      </c>
      <c r="C21" s="744">
        <v>15756817</v>
      </c>
      <c r="D21" s="741">
        <v>147553</v>
      </c>
      <c r="E21" s="736">
        <v>511425</v>
      </c>
      <c r="F21" s="741">
        <v>0</v>
      </c>
      <c r="G21" s="741">
        <v>511425</v>
      </c>
      <c r="H21" s="741">
        <v>0</v>
      </c>
      <c r="I21" s="741">
        <v>0</v>
      </c>
      <c r="J21" s="741">
        <v>15097839</v>
      </c>
      <c r="K21" s="741">
        <v>0</v>
      </c>
      <c r="L21" s="741">
        <v>0</v>
      </c>
      <c r="M21" s="741">
        <v>0</v>
      </c>
      <c r="N21" s="741">
        <v>0</v>
      </c>
      <c r="O21" s="741">
        <v>0</v>
      </c>
      <c r="P21" s="457">
        <f t="shared" si="0"/>
        <v>0</v>
      </c>
      <c r="Q21" s="413"/>
    </row>
    <row r="22" spans="1:17" ht="21" customHeight="1">
      <c r="A22" s="501" t="s">
        <v>145</v>
      </c>
      <c r="B22" s="430" t="s">
        <v>146</v>
      </c>
      <c r="C22" s="744">
        <v>24933761</v>
      </c>
      <c r="D22" s="741">
        <v>0</v>
      </c>
      <c r="E22" s="736">
        <v>0</v>
      </c>
      <c r="F22" s="741">
        <v>0</v>
      </c>
      <c r="G22" s="741">
        <v>0</v>
      </c>
      <c r="H22" s="741">
        <v>0</v>
      </c>
      <c r="I22" s="741">
        <v>0</v>
      </c>
      <c r="J22" s="741">
        <v>24933761</v>
      </c>
      <c r="K22" s="741">
        <v>0</v>
      </c>
      <c r="L22" s="741">
        <v>0</v>
      </c>
      <c r="M22" s="741">
        <v>0</v>
      </c>
      <c r="N22" s="741">
        <v>0</v>
      </c>
      <c r="O22" s="741">
        <v>0</v>
      </c>
      <c r="P22" s="457">
        <f t="shared" si="0"/>
        <v>0</v>
      </c>
      <c r="Q22" s="413"/>
    </row>
    <row r="23" spans="1:17" ht="25.5">
      <c r="A23" s="501" t="s">
        <v>147</v>
      </c>
      <c r="B23" s="432" t="s">
        <v>148</v>
      </c>
      <c r="C23" s="744">
        <v>0</v>
      </c>
      <c r="D23" s="741">
        <v>0</v>
      </c>
      <c r="E23" s="736">
        <v>0</v>
      </c>
      <c r="F23" s="741">
        <v>0</v>
      </c>
      <c r="G23" s="741">
        <v>0</v>
      </c>
      <c r="H23" s="741">
        <v>0</v>
      </c>
      <c r="I23" s="741">
        <v>0</v>
      </c>
      <c r="J23" s="741">
        <v>0</v>
      </c>
      <c r="K23" s="741">
        <v>0</v>
      </c>
      <c r="L23" s="741">
        <v>0</v>
      </c>
      <c r="M23" s="741">
        <v>0</v>
      </c>
      <c r="N23" s="741">
        <v>0</v>
      </c>
      <c r="O23" s="741">
        <v>0</v>
      </c>
      <c r="P23" s="457">
        <f t="shared" si="0"/>
        <v>0</v>
      </c>
      <c r="Q23" s="413"/>
    </row>
    <row r="24" spans="1:17" ht="21" customHeight="1">
      <c r="A24" s="501" t="s">
        <v>149</v>
      </c>
      <c r="B24" s="430" t="s">
        <v>150</v>
      </c>
      <c r="C24" s="744">
        <v>3078988</v>
      </c>
      <c r="D24" s="741">
        <v>1595712</v>
      </c>
      <c r="E24" s="736">
        <v>184474</v>
      </c>
      <c r="F24" s="741">
        <v>0</v>
      </c>
      <c r="G24" s="741">
        <v>184474</v>
      </c>
      <c r="H24" s="741">
        <v>0</v>
      </c>
      <c r="I24" s="741">
        <v>0</v>
      </c>
      <c r="J24" s="741">
        <v>1035119</v>
      </c>
      <c r="K24" s="741">
        <v>263683</v>
      </c>
      <c r="L24" s="741">
        <v>0</v>
      </c>
      <c r="M24" s="741">
        <v>0</v>
      </c>
      <c r="N24" s="741">
        <v>0</v>
      </c>
      <c r="O24" s="741">
        <v>0</v>
      </c>
      <c r="P24" s="457">
        <f t="shared" si="0"/>
        <v>0</v>
      </c>
      <c r="Q24" s="413"/>
    </row>
    <row r="25" spans="1:17" ht="21" customHeight="1">
      <c r="A25" s="502" t="s">
        <v>53</v>
      </c>
      <c r="B25" s="395" t="s">
        <v>151</v>
      </c>
      <c r="C25" s="735">
        <v>1474894564</v>
      </c>
      <c r="D25" s="741">
        <v>80363320</v>
      </c>
      <c r="E25" s="737">
        <v>81907113</v>
      </c>
      <c r="F25" s="741">
        <v>0</v>
      </c>
      <c r="G25" s="741">
        <v>81907113</v>
      </c>
      <c r="H25" s="741">
        <v>0</v>
      </c>
      <c r="I25" s="741">
        <v>611678</v>
      </c>
      <c r="J25" s="741">
        <v>1311886855</v>
      </c>
      <c r="K25" s="741">
        <v>0</v>
      </c>
      <c r="L25" s="741">
        <v>0</v>
      </c>
      <c r="M25" s="741">
        <v>125598</v>
      </c>
      <c r="N25" s="741">
        <v>0</v>
      </c>
      <c r="O25" s="741">
        <v>0</v>
      </c>
      <c r="P25" s="457">
        <f t="shared" si="0"/>
        <v>0</v>
      </c>
      <c r="Q25" s="413"/>
    </row>
    <row r="26" spans="1:17" ht="26.25">
      <c r="A26" s="528" t="s">
        <v>555</v>
      </c>
      <c r="B26" s="469" t="s">
        <v>152</v>
      </c>
      <c r="C26" s="699">
        <f>SUM(C18:C19)/C17*100</f>
        <v>3.8597111015530796</v>
      </c>
      <c r="D26" s="699">
        <f aca="true" t="shared" si="1" ref="D26:O26">SUM(D18:D19)/D17*100</f>
        <v>12.875069636099576</v>
      </c>
      <c r="E26" s="699">
        <f t="shared" si="1"/>
        <v>0.05048712424389946</v>
      </c>
      <c r="F26" s="699">
        <f t="shared" si="1"/>
        <v>0</v>
      </c>
      <c r="G26" s="699">
        <f t="shared" si="1"/>
        <v>0.05048871362429137</v>
      </c>
      <c r="H26" s="699" t="e">
        <f t="shared" si="1"/>
        <v>#DIV/0!</v>
      </c>
      <c r="I26" s="699">
        <f t="shared" si="1"/>
        <v>7.719845946132479</v>
      </c>
      <c r="J26" s="699">
        <f t="shared" si="1"/>
        <v>3.6191945961871954</v>
      </c>
      <c r="K26" s="699">
        <f t="shared" si="1"/>
        <v>1.8844924901518356</v>
      </c>
      <c r="L26" s="699" t="e">
        <f t="shared" si="1"/>
        <v>#DIV/0!</v>
      </c>
      <c r="M26" s="699">
        <f t="shared" si="1"/>
        <v>0</v>
      </c>
      <c r="N26" s="699" t="e">
        <f t="shared" si="1"/>
        <v>#DIV/0!</v>
      </c>
      <c r="O26" s="732" t="e">
        <f t="shared" si="1"/>
        <v>#DIV/0!</v>
      </c>
      <c r="P26" s="455"/>
      <c r="Q26" s="413"/>
    </row>
    <row r="27" spans="3:15" ht="15">
      <c r="C27" s="388">
        <f>C11-C14-C16</f>
        <v>0</v>
      </c>
      <c r="D27" s="388">
        <f aca="true" t="shared" si="2" ref="D27:O27">D11-D14-D16</f>
        <v>0</v>
      </c>
      <c r="E27" s="388">
        <f t="shared" si="2"/>
        <v>0</v>
      </c>
      <c r="F27" s="388">
        <f t="shared" si="2"/>
        <v>0</v>
      </c>
      <c r="G27" s="388">
        <f t="shared" si="2"/>
        <v>0</v>
      </c>
      <c r="H27" s="388">
        <f t="shared" si="2"/>
        <v>0</v>
      </c>
      <c r="I27" s="388">
        <f t="shared" si="2"/>
        <v>0</v>
      </c>
      <c r="J27" s="388">
        <f t="shared" si="2"/>
        <v>0</v>
      </c>
      <c r="K27" s="388">
        <f t="shared" si="2"/>
        <v>0</v>
      </c>
      <c r="L27" s="388">
        <f t="shared" si="2"/>
        <v>0</v>
      </c>
      <c r="M27" s="388">
        <f t="shared" si="2"/>
        <v>0</v>
      </c>
      <c r="N27" s="388">
        <f t="shared" si="2"/>
        <v>0</v>
      </c>
      <c r="O27" s="388">
        <f t="shared" si="2"/>
        <v>0</v>
      </c>
    </row>
  </sheetData>
  <sheetProtection/>
  <mergeCells count="27">
    <mergeCell ref="L4:O4"/>
    <mergeCell ref="N7:N9"/>
    <mergeCell ref="H7:H9"/>
    <mergeCell ref="O7:O9"/>
    <mergeCell ref="M7:M9"/>
    <mergeCell ref="L1:O1"/>
    <mergeCell ref="L2:O2"/>
    <mergeCell ref="L3:O3"/>
    <mergeCell ref="D1:K1"/>
    <mergeCell ref="A1:B1"/>
    <mergeCell ref="A2:C2"/>
    <mergeCell ref="L7:L9"/>
    <mergeCell ref="D2:K2"/>
    <mergeCell ref="D3:K3"/>
    <mergeCell ref="A3:B3"/>
    <mergeCell ref="I7:I9"/>
    <mergeCell ref="E8:E9"/>
    <mergeCell ref="F8:G8"/>
    <mergeCell ref="A6:B9"/>
    <mergeCell ref="P8:Q8"/>
    <mergeCell ref="A10:B10"/>
    <mergeCell ref="C6:C9"/>
    <mergeCell ref="D6:O6"/>
    <mergeCell ref="D7:D9"/>
    <mergeCell ref="E7:G7"/>
    <mergeCell ref="J7:J9"/>
    <mergeCell ref="K7:K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47" t="s">
        <v>36</v>
      </c>
      <c r="B1" s="947"/>
      <c r="C1" s="947"/>
      <c r="D1" s="947"/>
      <c r="E1" s="963" t="s">
        <v>482</v>
      </c>
      <c r="F1" s="963"/>
      <c r="G1" s="963"/>
      <c r="H1" s="963"/>
      <c r="I1" s="963"/>
      <c r="J1" s="963"/>
      <c r="K1" s="963"/>
      <c r="L1" s="40" t="s">
        <v>458</v>
      </c>
      <c r="M1" s="40"/>
      <c r="N1" s="40"/>
      <c r="O1" s="41"/>
      <c r="P1" s="41"/>
    </row>
    <row r="2" spans="1:16" ht="15.75" customHeight="1">
      <c r="A2" s="954" t="s">
        <v>344</v>
      </c>
      <c r="B2" s="954"/>
      <c r="C2" s="954"/>
      <c r="D2" s="954"/>
      <c r="E2" s="963"/>
      <c r="F2" s="963"/>
      <c r="G2" s="963"/>
      <c r="H2" s="963"/>
      <c r="I2" s="963"/>
      <c r="J2" s="963"/>
      <c r="K2" s="963"/>
      <c r="L2" s="948" t="s">
        <v>361</v>
      </c>
      <c r="M2" s="948"/>
      <c r="N2" s="948"/>
      <c r="O2" s="44"/>
      <c r="P2" s="41"/>
    </row>
    <row r="3" spans="1:16" ht="18" customHeight="1">
      <c r="A3" s="954" t="s">
        <v>345</v>
      </c>
      <c r="B3" s="954"/>
      <c r="C3" s="954"/>
      <c r="D3" s="954"/>
      <c r="E3" s="966" t="s">
        <v>478</v>
      </c>
      <c r="F3" s="966"/>
      <c r="G3" s="966"/>
      <c r="H3" s="966"/>
      <c r="I3" s="966"/>
      <c r="J3" s="966"/>
      <c r="K3" s="45"/>
      <c r="L3" s="949" t="s">
        <v>477</v>
      </c>
      <c r="M3" s="949"/>
      <c r="N3" s="949"/>
      <c r="O3" s="41"/>
      <c r="P3" s="41"/>
    </row>
    <row r="4" spans="1:16" ht="21" customHeight="1">
      <c r="A4" s="968" t="s">
        <v>364</v>
      </c>
      <c r="B4" s="968"/>
      <c r="C4" s="968"/>
      <c r="D4" s="968"/>
      <c r="E4" s="48"/>
      <c r="F4" s="49"/>
      <c r="G4" s="50"/>
      <c r="H4" s="50"/>
      <c r="I4" s="50"/>
      <c r="J4" s="50"/>
      <c r="K4" s="41"/>
      <c r="L4" s="948" t="s">
        <v>356</v>
      </c>
      <c r="M4" s="948"/>
      <c r="N4" s="948"/>
      <c r="O4" s="44"/>
      <c r="P4" s="41"/>
    </row>
    <row r="5" spans="1:16" ht="18" customHeight="1">
      <c r="A5" s="50"/>
      <c r="B5" s="41"/>
      <c r="C5" s="51"/>
      <c r="D5" s="953"/>
      <c r="E5" s="953"/>
      <c r="F5" s="953"/>
      <c r="G5" s="953"/>
      <c r="H5" s="953"/>
      <c r="I5" s="953"/>
      <c r="J5" s="953"/>
      <c r="K5" s="953"/>
      <c r="L5" s="52" t="s">
        <v>365</v>
      </c>
      <c r="M5" s="52"/>
      <c r="N5" s="52"/>
      <c r="O5" s="41"/>
      <c r="P5" s="41"/>
    </row>
    <row r="6" spans="1:18" ht="33" customHeight="1">
      <c r="A6" s="969" t="s">
        <v>72</v>
      </c>
      <c r="B6" s="970"/>
      <c r="C6" s="967" t="s">
        <v>366</v>
      </c>
      <c r="D6" s="967"/>
      <c r="E6" s="967"/>
      <c r="F6" s="967"/>
      <c r="G6" s="950" t="s">
        <v>7</v>
      </c>
      <c r="H6" s="951"/>
      <c r="I6" s="951"/>
      <c r="J6" s="951"/>
      <c r="K6" s="951"/>
      <c r="L6" s="951"/>
      <c r="M6" s="951"/>
      <c r="N6" s="952"/>
      <c r="O6" s="955" t="s">
        <v>367</v>
      </c>
      <c r="P6" s="956"/>
      <c r="Q6" s="956"/>
      <c r="R6" s="957"/>
    </row>
    <row r="7" spans="1:18" ht="29.25" customHeight="1">
      <c r="A7" s="971"/>
      <c r="B7" s="972"/>
      <c r="C7" s="967"/>
      <c r="D7" s="967"/>
      <c r="E7" s="967"/>
      <c r="F7" s="967"/>
      <c r="G7" s="950" t="s">
        <v>368</v>
      </c>
      <c r="H7" s="951"/>
      <c r="I7" s="951"/>
      <c r="J7" s="952"/>
      <c r="K7" s="950" t="s">
        <v>110</v>
      </c>
      <c r="L7" s="951"/>
      <c r="M7" s="951"/>
      <c r="N7" s="952"/>
      <c r="O7" s="54" t="s">
        <v>369</v>
      </c>
      <c r="P7" s="54" t="s">
        <v>370</v>
      </c>
      <c r="Q7" s="958" t="s">
        <v>371</v>
      </c>
      <c r="R7" s="958" t="s">
        <v>372</v>
      </c>
    </row>
    <row r="8" spans="1:18" ht="26.25" customHeight="1">
      <c r="A8" s="971"/>
      <c r="B8" s="972"/>
      <c r="C8" s="942" t="s">
        <v>107</v>
      </c>
      <c r="D8" s="943"/>
      <c r="E8" s="942" t="s">
        <v>106</v>
      </c>
      <c r="F8" s="943"/>
      <c r="G8" s="942" t="s">
        <v>108</v>
      </c>
      <c r="H8" s="944"/>
      <c r="I8" s="942" t="s">
        <v>109</v>
      </c>
      <c r="J8" s="944"/>
      <c r="K8" s="942" t="s">
        <v>111</v>
      </c>
      <c r="L8" s="944"/>
      <c r="M8" s="942" t="s">
        <v>112</v>
      </c>
      <c r="N8" s="944"/>
      <c r="O8" s="960" t="s">
        <v>373</v>
      </c>
      <c r="P8" s="961" t="s">
        <v>374</v>
      </c>
      <c r="Q8" s="958"/>
      <c r="R8" s="958"/>
    </row>
    <row r="9" spans="1:18" ht="30.75" customHeight="1">
      <c r="A9" s="971"/>
      <c r="B9" s="972"/>
      <c r="C9" s="55" t="s">
        <v>3</v>
      </c>
      <c r="D9" s="53" t="s">
        <v>10</v>
      </c>
      <c r="E9" s="53" t="s">
        <v>3</v>
      </c>
      <c r="F9" s="53" t="s">
        <v>10</v>
      </c>
      <c r="G9" s="56" t="s">
        <v>3</v>
      </c>
      <c r="H9" s="56" t="s">
        <v>10</v>
      </c>
      <c r="I9" s="56" t="s">
        <v>3</v>
      </c>
      <c r="J9" s="56" t="s">
        <v>10</v>
      </c>
      <c r="K9" s="56" t="s">
        <v>3</v>
      </c>
      <c r="L9" s="56" t="s">
        <v>10</v>
      </c>
      <c r="M9" s="56" t="s">
        <v>3</v>
      </c>
      <c r="N9" s="56" t="s">
        <v>10</v>
      </c>
      <c r="O9" s="960"/>
      <c r="P9" s="962"/>
      <c r="Q9" s="959"/>
      <c r="R9" s="959"/>
    </row>
    <row r="10" spans="1:18" s="61" customFormat="1" ht="18" customHeight="1">
      <c r="A10" s="977" t="s">
        <v>6</v>
      </c>
      <c r="B10" s="977"/>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64" t="s">
        <v>375</v>
      </c>
      <c r="B11" s="965"/>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945" t="s">
        <v>479</v>
      </c>
      <c r="B12" s="946"/>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978" t="s">
        <v>38</v>
      </c>
      <c r="B13" s="979"/>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80" t="s">
        <v>480</v>
      </c>
      <c r="C28" s="980"/>
      <c r="D28" s="980"/>
      <c r="E28" s="980"/>
      <c r="F28" s="84"/>
      <c r="G28" s="85"/>
      <c r="H28" s="85"/>
      <c r="I28" s="85"/>
      <c r="J28" s="980" t="s">
        <v>481</v>
      </c>
      <c r="K28" s="980"/>
      <c r="L28" s="980"/>
      <c r="M28" s="980"/>
      <c r="N28" s="980"/>
      <c r="O28" s="86"/>
      <c r="P28" s="86"/>
      <c r="AG28" s="87" t="s">
        <v>396</v>
      </c>
      <c r="AI28" s="88">
        <f>82/88</f>
        <v>0.9318181818181818</v>
      </c>
    </row>
    <row r="29" spans="1:16" s="94" customFormat="1" ht="19.5" customHeight="1">
      <c r="A29" s="89"/>
      <c r="B29" s="941" t="s">
        <v>43</v>
      </c>
      <c r="C29" s="941"/>
      <c r="D29" s="941"/>
      <c r="E29" s="941"/>
      <c r="F29" s="91"/>
      <c r="G29" s="92"/>
      <c r="H29" s="92"/>
      <c r="I29" s="92"/>
      <c r="J29" s="941" t="s">
        <v>397</v>
      </c>
      <c r="K29" s="941"/>
      <c r="L29" s="941"/>
      <c r="M29" s="941"/>
      <c r="N29" s="941"/>
      <c r="O29" s="93"/>
      <c r="P29" s="93"/>
    </row>
    <row r="30" spans="1:16" s="94" customFormat="1" ht="19.5" customHeight="1">
      <c r="A30" s="89"/>
      <c r="B30" s="975"/>
      <c r="C30" s="975"/>
      <c r="D30" s="975"/>
      <c r="E30" s="91"/>
      <c r="F30" s="91"/>
      <c r="G30" s="92"/>
      <c r="H30" s="92"/>
      <c r="I30" s="92"/>
      <c r="J30" s="976"/>
      <c r="K30" s="976"/>
      <c r="L30" s="976"/>
      <c r="M30" s="976"/>
      <c r="N30" s="976"/>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74" t="s">
        <v>398</v>
      </c>
      <c r="C32" s="974"/>
      <c r="D32" s="974"/>
      <c r="E32" s="974"/>
      <c r="F32" s="96"/>
      <c r="G32" s="97"/>
      <c r="H32" s="97"/>
      <c r="I32" s="97"/>
      <c r="J32" s="973" t="s">
        <v>398</v>
      </c>
      <c r="K32" s="973"/>
      <c r="L32" s="973"/>
      <c r="M32" s="973"/>
      <c r="N32" s="973"/>
      <c r="O32" s="93"/>
      <c r="P32" s="93"/>
    </row>
    <row r="33" spans="1:16" s="94" customFormat="1" ht="19.5" customHeight="1">
      <c r="A33" s="89"/>
      <c r="B33" s="941" t="s">
        <v>399</v>
      </c>
      <c r="C33" s="941"/>
      <c r="D33" s="941"/>
      <c r="E33" s="941"/>
      <c r="F33" s="91"/>
      <c r="G33" s="92"/>
      <c r="H33" s="92"/>
      <c r="I33" s="92"/>
      <c r="J33" s="90"/>
      <c r="K33" s="941" t="s">
        <v>399</v>
      </c>
      <c r="L33" s="941"/>
      <c r="M33" s="941"/>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939" t="s">
        <v>352</v>
      </c>
      <c r="C36" s="939"/>
      <c r="D36" s="939"/>
      <c r="E36" s="939"/>
      <c r="F36" s="100"/>
      <c r="G36" s="100"/>
      <c r="H36" s="100"/>
      <c r="I36" s="100"/>
      <c r="J36" s="940" t="s">
        <v>353</v>
      </c>
      <c r="K36" s="940"/>
      <c r="L36" s="940"/>
      <c r="M36" s="940"/>
      <c r="N36" s="940"/>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J32:N32"/>
    <mergeCell ref="B32:E32"/>
    <mergeCell ref="G7:J7"/>
    <mergeCell ref="K8:L8"/>
    <mergeCell ref="B30:D30"/>
    <mergeCell ref="J30:N30"/>
    <mergeCell ref="A10:B10"/>
    <mergeCell ref="A13:B13"/>
    <mergeCell ref="B28:E28"/>
    <mergeCell ref="J28:N28"/>
    <mergeCell ref="J29:N29"/>
    <mergeCell ref="A11:B11"/>
    <mergeCell ref="E3:J3"/>
    <mergeCell ref="A3:D3"/>
    <mergeCell ref="C6:F7"/>
    <mergeCell ref="A4:D4"/>
    <mergeCell ref="A6:B9"/>
    <mergeCell ref="O6:R6"/>
    <mergeCell ref="R7:R9"/>
    <mergeCell ref="Q7:Q9"/>
    <mergeCell ref="O8:O9"/>
    <mergeCell ref="P8:P9"/>
    <mergeCell ref="E1:K2"/>
    <mergeCell ref="A1:D1"/>
    <mergeCell ref="L2:N2"/>
    <mergeCell ref="L3:N3"/>
    <mergeCell ref="L4:N4"/>
    <mergeCell ref="M8:N8"/>
    <mergeCell ref="K7:N7"/>
    <mergeCell ref="D5:K5"/>
    <mergeCell ref="G6:N6"/>
    <mergeCell ref="A2:D2"/>
    <mergeCell ref="B36:E36"/>
    <mergeCell ref="J36:N36"/>
    <mergeCell ref="B29:E29"/>
    <mergeCell ref="E8:F8"/>
    <mergeCell ref="G8:H8"/>
    <mergeCell ref="C8:D8"/>
    <mergeCell ref="A12:B12"/>
    <mergeCell ref="I8:J8"/>
    <mergeCell ref="B33:E33"/>
    <mergeCell ref="K33:M33"/>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4">
      <selection activeCell="C10" sqref="C10"/>
    </sheetView>
  </sheetViews>
  <sheetFormatPr defaultColWidth="9.00390625" defaultRowHeight="15.75"/>
  <cols>
    <col min="1" max="1" width="4.25390625" style="422" customWidth="1"/>
    <col min="2" max="2" width="46.375" style="422" customWidth="1"/>
    <col min="3" max="3" width="40.00390625" style="422" customWidth="1"/>
    <col min="4" max="4" width="9.00390625" style="757" customWidth="1"/>
    <col min="5" max="16384" width="9.00390625" style="422" customWidth="1"/>
  </cols>
  <sheetData>
    <row r="1" spans="1:4" s="436" customFormat="1" ht="36" customHeight="1">
      <c r="A1" s="1260" t="s">
        <v>206</v>
      </c>
      <c r="B1" s="1261"/>
      <c r="C1" s="1261"/>
      <c r="D1" s="751"/>
    </row>
    <row r="2" spans="1:4" s="471" customFormat="1" ht="19.5" customHeight="1">
      <c r="A2" s="1262" t="s">
        <v>70</v>
      </c>
      <c r="B2" s="1263"/>
      <c r="C2" s="470" t="s">
        <v>342</v>
      </c>
      <c r="D2" s="752"/>
    </row>
    <row r="3" spans="1:4" s="444" customFormat="1" ht="18.75" customHeight="1">
      <c r="A3" s="1274" t="s">
        <v>6</v>
      </c>
      <c r="B3" s="1275"/>
      <c r="C3" s="441">
        <v>1</v>
      </c>
      <c r="D3" s="753"/>
    </row>
    <row r="4" spans="1:4" s="444" customFormat="1" ht="19.5" customHeight="1">
      <c r="A4" s="441" t="s">
        <v>52</v>
      </c>
      <c r="B4" s="515" t="s">
        <v>572</v>
      </c>
      <c r="C4" s="404">
        <f>SUM(C5:C13)</f>
        <v>15756817</v>
      </c>
      <c r="D4" s="754">
        <f>C4-15756817</f>
        <v>0</v>
      </c>
    </row>
    <row r="5" spans="1:4" s="26" customFormat="1" ht="19.5" customHeight="1">
      <c r="A5" s="445" t="s">
        <v>54</v>
      </c>
      <c r="B5" s="516" t="s">
        <v>168</v>
      </c>
      <c r="C5" s="409">
        <v>0</v>
      </c>
      <c r="D5" s="755"/>
    </row>
    <row r="6" spans="1:4" s="26" customFormat="1" ht="19.5" customHeight="1">
      <c r="A6" s="446" t="s">
        <v>55</v>
      </c>
      <c r="B6" s="516" t="s">
        <v>170</v>
      </c>
      <c r="C6" s="409">
        <v>511425</v>
      </c>
      <c r="D6" s="755"/>
    </row>
    <row r="7" spans="1:4" s="26" customFormat="1" ht="19.5" customHeight="1">
      <c r="A7" s="446" t="s">
        <v>141</v>
      </c>
      <c r="B7" s="516" t="s">
        <v>180</v>
      </c>
      <c r="C7" s="409">
        <v>0</v>
      </c>
      <c r="D7" s="755"/>
    </row>
    <row r="8" spans="1:4" s="26" customFormat="1" ht="19.5" customHeight="1">
      <c r="A8" s="446" t="s">
        <v>143</v>
      </c>
      <c r="B8" s="516" t="s">
        <v>172</v>
      </c>
      <c r="C8" s="409">
        <v>0</v>
      </c>
      <c r="D8" s="755"/>
    </row>
    <row r="9" spans="1:4" s="26" customFormat="1" ht="19.5" customHeight="1">
      <c r="A9" s="446" t="s">
        <v>145</v>
      </c>
      <c r="B9" s="516" t="s">
        <v>156</v>
      </c>
      <c r="C9" s="409">
        <v>14245392</v>
      </c>
      <c r="D9" s="755"/>
    </row>
    <row r="10" spans="1:4" s="26" customFormat="1" ht="19.5" customHeight="1">
      <c r="A10" s="446" t="s">
        <v>147</v>
      </c>
      <c r="B10" s="516" t="s">
        <v>185</v>
      </c>
      <c r="C10" s="409"/>
      <c r="D10" s="755"/>
    </row>
    <row r="11" spans="1:4" s="26" customFormat="1" ht="19.5" customHeight="1">
      <c r="A11" s="446" t="s">
        <v>149</v>
      </c>
      <c r="B11" s="516" t="s">
        <v>158</v>
      </c>
      <c r="C11" s="409"/>
      <c r="D11" s="755"/>
    </row>
    <row r="12" spans="1:4" s="447" customFormat="1" ht="19.5" customHeight="1">
      <c r="A12" s="446" t="s">
        <v>186</v>
      </c>
      <c r="B12" s="516" t="s">
        <v>187</v>
      </c>
      <c r="C12" s="409"/>
      <c r="D12" s="756"/>
    </row>
    <row r="13" spans="1:4" s="447" customFormat="1" ht="19.5" customHeight="1">
      <c r="A13" s="446" t="s">
        <v>575</v>
      </c>
      <c r="B13" s="516" t="s">
        <v>160</v>
      </c>
      <c r="C13" s="409">
        <v>1000000</v>
      </c>
      <c r="D13" s="756"/>
    </row>
    <row r="14" spans="1:4" s="447" customFormat="1" ht="19.5" customHeight="1">
      <c r="A14" s="441" t="s">
        <v>53</v>
      </c>
      <c r="B14" s="515" t="s">
        <v>573</v>
      </c>
      <c r="C14" s="404">
        <f>SUM(C15:C16)</f>
        <v>24933761</v>
      </c>
      <c r="D14" s="756"/>
    </row>
    <row r="15" spans="1:4" s="447" customFormat="1" ht="19.5" customHeight="1">
      <c r="A15" s="445" t="s">
        <v>56</v>
      </c>
      <c r="B15" s="516" t="s">
        <v>188</v>
      </c>
      <c r="C15" s="409">
        <v>24933761</v>
      </c>
      <c r="D15" s="756"/>
    </row>
    <row r="16" spans="1:4" s="447" customFormat="1" ht="19.5" customHeight="1">
      <c r="A16" s="445" t="s">
        <v>57</v>
      </c>
      <c r="B16" s="516" t="s">
        <v>160</v>
      </c>
      <c r="C16" s="409"/>
      <c r="D16" s="756"/>
    </row>
    <row r="17" spans="1:4" s="444" customFormat="1" ht="19.5" customHeight="1">
      <c r="A17" s="441" t="s">
        <v>58</v>
      </c>
      <c r="B17" s="529" t="s">
        <v>150</v>
      </c>
      <c r="C17" s="404">
        <f>SUM(C18:C20)</f>
        <v>3078988</v>
      </c>
      <c r="D17" s="753"/>
    </row>
    <row r="18" spans="1:3" ht="19.5" customHeight="1">
      <c r="A18" s="445" t="s">
        <v>161</v>
      </c>
      <c r="B18" s="516" t="s">
        <v>189</v>
      </c>
      <c r="C18" s="409">
        <v>1548802</v>
      </c>
    </row>
    <row r="19" spans="1:4" s="26" customFormat="1" ht="30">
      <c r="A19" s="446" t="s">
        <v>163</v>
      </c>
      <c r="B19" s="516" t="s">
        <v>164</v>
      </c>
      <c r="C19" s="409">
        <v>1402474</v>
      </c>
      <c r="D19" s="755"/>
    </row>
    <row r="20" spans="1:4" s="26" customFormat="1" ht="19.5" customHeight="1">
      <c r="A20" s="446" t="s">
        <v>165</v>
      </c>
      <c r="B20" s="516" t="s">
        <v>166</v>
      </c>
      <c r="C20" s="409">
        <v>127712</v>
      </c>
      <c r="D20" s="755"/>
    </row>
    <row r="21" spans="1:4" s="26" customFormat="1" ht="19.5" customHeight="1">
      <c r="A21" s="446" t="s">
        <v>73</v>
      </c>
      <c r="B21" s="515" t="s">
        <v>570</v>
      </c>
      <c r="C21" s="404">
        <f>SUM(C22:C28)</f>
        <v>8790929</v>
      </c>
      <c r="D21" s="755"/>
    </row>
    <row r="22" spans="1:4" s="26" customFormat="1" ht="19.5" customHeight="1">
      <c r="A22" s="446" t="s">
        <v>167</v>
      </c>
      <c r="B22" s="516" t="s">
        <v>168</v>
      </c>
      <c r="C22" s="409">
        <v>634168</v>
      </c>
      <c r="D22" s="755"/>
    </row>
    <row r="23" spans="1:4" s="26" customFormat="1" ht="19.5" customHeight="1">
      <c r="A23" s="446" t="s">
        <v>169</v>
      </c>
      <c r="B23" s="516" t="s">
        <v>170</v>
      </c>
      <c r="C23" s="409"/>
      <c r="D23" s="755"/>
    </row>
    <row r="24" spans="1:4" s="26" customFormat="1" ht="19.5" customHeight="1">
      <c r="A24" s="446" t="s">
        <v>171</v>
      </c>
      <c r="B24" s="516" t="s">
        <v>190</v>
      </c>
      <c r="C24" s="409">
        <v>8156761</v>
      </c>
      <c r="D24" s="755"/>
    </row>
    <row r="25" spans="1:4" s="26" customFormat="1" ht="19.5" customHeight="1">
      <c r="A25" s="446" t="s">
        <v>173</v>
      </c>
      <c r="B25" s="516" t="s">
        <v>155</v>
      </c>
      <c r="C25" s="409">
        <v>0</v>
      </c>
      <c r="D25" s="755"/>
    </row>
    <row r="26" spans="1:4" s="26" customFormat="1" ht="19.5" customHeight="1">
      <c r="A26" s="446" t="s">
        <v>174</v>
      </c>
      <c r="B26" s="516" t="s">
        <v>191</v>
      </c>
      <c r="C26" s="409"/>
      <c r="D26" s="755"/>
    </row>
    <row r="27" spans="1:4" s="26" customFormat="1" ht="19.5" customHeight="1">
      <c r="A27" s="446" t="s">
        <v>175</v>
      </c>
      <c r="B27" s="516" t="s">
        <v>158</v>
      </c>
      <c r="C27" s="409"/>
      <c r="D27" s="755"/>
    </row>
    <row r="28" spans="1:4" s="26" customFormat="1" ht="19.5" customHeight="1">
      <c r="A28" s="446" t="s">
        <v>192</v>
      </c>
      <c r="B28" s="516" t="s">
        <v>193</v>
      </c>
      <c r="C28" s="409"/>
      <c r="D28" s="755"/>
    </row>
    <row r="29" spans="1:4" s="26" customFormat="1" ht="19.5" customHeight="1">
      <c r="A29" s="441" t="s">
        <v>74</v>
      </c>
      <c r="B29" s="515" t="s">
        <v>574</v>
      </c>
      <c r="C29" s="404">
        <f>SUM(C30:C32)</f>
        <v>1474894564</v>
      </c>
      <c r="D29" s="755"/>
    </row>
    <row r="30" spans="1:3" ht="19.5" customHeight="1">
      <c r="A30" s="446" t="s">
        <v>177</v>
      </c>
      <c r="B30" s="516" t="s">
        <v>168</v>
      </c>
      <c r="C30" s="409">
        <v>1236036578</v>
      </c>
    </row>
    <row r="31" spans="1:4" s="26" customFormat="1" ht="19.5" customHeight="1">
      <c r="A31" s="446" t="s">
        <v>178</v>
      </c>
      <c r="B31" s="516" t="s">
        <v>170</v>
      </c>
      <c r="C31" s="409"/>
      <c r="D31" s="755"/>
    </row>
    <row r="32" spans="1:4" s="26" customFormat="1" ht="19.5" customHeight="1">
      <c r="A32" s="446" t="s">
        <v>179</v>
      </c>
      <c r="B32" s="516" t="s">
        <v>190</v>
      </c>
      <c r="C32" s="409">
        <v>238857986</v>
      </c>
      <c r="D32" s="755"/>
    </row>
    <row r="33" spans="1:4" s="26" customFormat="1" ht="15.75">
      <c r="A33" s="448"/>
      <c r="B33" s="449"/>
      <c r="C33" s="449"/>
      <c r="D33" s="755"/>
    </row>
    <row r="34" spans="1:4" s="410" customFormat="1" ht="18.75">
      <c r="A34" s="1279"/>
      <c r="B34" s="1279"/>
      <c r="C34" s="517" t="str">
        <f>'Thong tin'!B8</f>
        <v>Hải Phòng, ngày 04 tháng 01 năm 2018</v>
      </c>
      <c r="D34" s="758"/>
    </row>
    <row r="35" spans="1:4" s="472" customFormat="1" ht="18.75">
      <c r="A35" s="1259" t="s">
        <v>4</v>
      </c>
      <c r="B35" s="1259"/>
      <c r="C35" s="518" t="str">
        <f>'Thong tin'!B7</f>
        <v>
PHÓ CỤC TRƯỞNG</v>
      </c>
      <c r="D35" s="759"/>
    </row>
    <row r="36" spans="1:4" s="410" customFormat="1" ht="18.75">
      <c r="A36" s="538"/>
      <c r="B36" s="520"/>
      <c r="C36" s="520"/>
      <c r="D36" s="758"/>
    </row>
    <row r="37" spans="1:4" s="410" customFormat="1" ht="18.75">
      <c r="A37" s="519"/>
      <c r="B37" s="520"/>
      <c r="C37" s="520"/>
      <c r="D37" s="758"/>
    </row>
    <row r="38" spans="1:4" s="410" customFormat="1" ht="15.75">
      <c r="A38" s="519"/>
      <c r="B38" s="519"/>
      <c r="C38" s="519"/>
      <c r="D38" s="758"/>
    </row>
    <row r="39" spans="1:3" ht="15.75">
      <c r="A39" s="522"/>
      <c r="B39" s="523"/>
      <c r="C39" s="524"/>
    </row>
    <row r="40" spans="1:4" s="444" customFormat="1" ht="18.75">
      <c r="A40" s="1258" t="str">
        <f>'Thong tin'!B5</f>
        <v>Trần Thị Minh</v>
      </c>
      <c r="B40" s="1258"/>
      <c r="C40" s="526" t="str">
        <f>'Thong tin'!B6</f>
        <v>Nguyễn Thị Mai Hoa</v>
      </c>
      <c r="D40" s="753"/>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view="pageBreakPreview" zoomScale="85" zoomScaleNormal="80" zoomScaleSheetLayoutView="85" zoomScalePageLayoutView="0" workbookViewId="0" topLeftCell="A1">
      <selection activeCell="U11" sqref="U11:U27"/>
    </sheetView>
  </sheetViews>
  <sheetFormatPr defaultColWidth="9.00390625" defaultRowHeight="15.75"/>
  <cols>
    <col min="1" max="1" width="4.875" style="477" customWidth="1"/>
    <col min="2" max="2" width="23.25390625" style="477" customWidth="1"/>
    <col min="3" max="3" width="12.625" style="477" customWidth="1"/>
    <col min="4" max="4" width="12.125" style="477" customWidth="1"/>
    <col min="5" max="10" width="9.375" style="477" customWidth="1"/>
    <col min="11" max="11" width="12.25390625" style="477" customWidth="1"/>
    <col min="12" max="12" width="12.125" style="477" customWidth="1"/>
    <col min="13" max="13" width="11.375" style="476" hidden="1" customWidth="1"/>
    <col min="14" max="14" width="18.125" style="476" hidden="1" customWidth="1"/>
    <col min="15" max="15" width="10.875" style="476" hidden="1" customWidth="1"/>
    <col min="16" max="16" width="13.25390625" style="476" hidden="1" customWidth="1"/>
    <col min="17" max="17" width="0" style="476" hidden="1" customWidth="1"/>
    <col min="18" max="18" width="9.50390625" style="476" hidden="1" customWidth="1"/>
    <col min="19" max="19" width="0.37109375" style="477" customWidth="1"/>
    <col min="20" max="20" width="11.125" style="477" bestFit="1" customWidth="1"/>
    <col min="21" max="16384" width="9.00390625" style="477" customWidth="1"/>
  </cols>
  <sheetData>
    <row r="1" spans="1:13" ht="21" customHeight="1">
      <c r="A1" s="1317" t="s">
        <v>33</v>
      </c>
      <c r="B1" s="1318"/>
      <c r="C1" s="474"/>
      <c r="D1" s="1303" t="s">
        <v>79</v>
      </c>
      <c r="E1" s="1303"/>
      <c r="F1" s="1303"/>
      <c r="G1" s="1303"/>
      <c r="H1" s="1303"/>
      <c r="I1" s="1303"/>
      <c r="J1" s="1303"/>
      <c r="K1" s="1315" t="s">
        <v>557</v>
      </c>
      <c r="L1" s="1315"/>
      <c r="M1" s="475"/>
    </row>
    <row r="2" spans="1:13" ht="16.5" customHeight="1">
      <c r="A2" s="1270" t="s">
        <v>344</v>
      </c>
      <c r="B2" s="1270"/>
      <c r="C2" s="1270"/>
      <c r="D2" s="1303" t="s">
        <v>216</v>
      </c>
      <c r="E2" s="1303"/>
      <c r="F2" s="1303"/>
      <c r="G2" s="1303"/>
      <c r="H2" s="1303"/>
      <c r="I2" s="1303"/>
      <c r="J2" s="1303"/>
      <c r="K2" s="1314" t="str">
        <f>'Thong tin'!B4</f>
        <v>CTHADS Hải Phòng</v>
      </c>
      <c r="L2" s="1314"/>
      <c r="M2" s="478"/>
    </row>
    <row r="3" spans="1:13" ht="16.5" customHeight="1">
      <c r="A3" s="1270" t="s">
        <v>345</v>
      </c>
      <c r="B3" s="1270"/>
      <c r="C3" s="413"/>
      <c r="D3" s="1332" t="str">
        <f>'Thong tin'!B3</f>
        <v>03 tháng / năm 2018</v>
      </c>
      <c r="E3" s="1332"/>
      <c r="F3" s="1332"/>
      <c r="G3" s="1332"/>
      <c r="H3" s="1332"/>
      <c r="I3" s="1332"/>
      <c r="J3" s="1332"/>
      <c r="K3" s="1315" t="s">
        <v>523</v>
      </c>
      <c r="L3" s="1315"/>
      <c r="M3" s="475"/>
    </row>
    <row r="4" spans="1:13" ht="13.5" customHeight="1">
      <c r="A4" s="434" t="s">
        <v>119</v>
      </c>
      <c r="B4" s="434"/>
      <c r="C4" s="419"/>
      <c r="D4" s="479"/>
      <c r="E4" s="479"/>
      <c r="F4" s="480"/>
      <c r="G4" s="480"/>
      <c r="H4" s="480"/>
      <c r="I4" s="480"/>
      <c r="J4" s="480"/>
      <c r="K4" s="1314" t="s">
        <v>412</v>
      </c>
      <c r="L4" s="1314"/>
      <c r="M4" s="478"/>
    </row>
    <row r="5" spans="1:13" ht="14.25" customHeight="1">
      <c r="A5" s="479"/>
      <c r="B5" s="479" t="s">
        <v>94</v>
      </c>
      <c r="C5" s="479"/>
      <c r="D5" s="479"/>
      <c r="E5" s="1316" t="s">
        <v>522</v>
      </c>
      <c r="F5" s="1316"/>
      <c r="G5" s="1316"/>
      <c r="H5" s="1316"/>
      <c r="I5" s="1316"/>
      <c r="J5" s="479"/>
      <c r="K5" s="1300" t="s">
        <v>195</v>
      </c>
      <c r="L5" s="1300"/>
      <c r="M5" s="475"/>
    </row>
    <row r="6" spans="1:16" ht="20.25" customHeight="1">
      <c r="A6" s="932" t="s">
        <v>71</v>
      </c>
      <c r="B6" s="933"/>
      <c r="C6" s="1284" t="s">
        <v>38</v>
      </c>
      <c r="D6" s="1309" t="s">
        <v>339</v>
      </c>
      <c r="E6" s="1309"/>
      <c r="F6" s="1309"/>
      <c r="G6" s="1309"/>
      <c r="H6" s="1309"/>
      <c r="I6" s="1309"/>
      <c r="J6" s="1309"/>
      <c r="K6" s="1309"/>
      <c r="L6" s="1309"/>
      <c r="M6" s="478"/>
      <c r="N6" s="1304" t="s">
        <v>519</v>
      </c>
      <c r="O6" s="1304"/>
      <c r="P6" s="1304"/>
    </row>
    <row r="7" spans="1:13" ht="20.25" customHeight="1">
      <c r="A7" s="934"/>
      <c r="B7" s="935"/>
      <c r="C7" s="1284"/>
      <c r="D7" s="1320" t="s">
        <v>207</v>
      </c>
      <c r="E7" s="1321"/>
      <c r="F7" s="1321"/>
      <c r="G7" s="1321"/>
      <c r="H7" s="1321"/>
      <c r="I7" s="1321"/>
      <c r="J7" s="1322"/>
      <c r="K7" s="1323" t="s">
        <v>208</v>
      </c>
      <c r="L7" s="1323" t="s">
        <v>209</v>
      </c>
      <c r="M7" s="475"/>
    </row>
    <row r="8" spans="1:13" ht="20.25" customHeight="1">
      <c r="A8" s="934"/>
      <c r="B8" s="935"/>
      <c r="C8" s="1284"/>
      <c r="D8" s="1334" t="s">
        <v>37</v>
      </c>
      <c r="E8" s="1328" t="s">
        <v>7</v>
      </c>
      <c r="F8" s="1329"/>
      <c r="G8" s="1329"/>
      <c r="H8" s="1329"/>
      <c r="I8" s="1329"/>
      <c r="J8" s="1330"/>
      <c r="K8" s="1324"/>
      <c r="L8" s="1326"/>
      <c r="M8" s="475"/>
    </row>
    <row r="9" spans="1:16" ht="20.25" customHeight="1">
      <c r="A9" s="1295"/>
      <c r="B9" s="1296"/>
      <c r="C9" s="1284"/>
      <c r="D9" s="1334"/>
      <c r="E9" s="544" t="s">
        <v>210</v>
      </c>
      <c r="F9" s="544" t="s">
        <v>211</v>
      </c>
      <c r="G9" s="544" t="s">
        <v>212</v>
      </c>
      <c r="H9" s="544" t="s">
        <v>213</v>
      </c>
      <c r="I9" s="544" t="s">
        <v>346</v>
      </c>
      <c r="J9" s="544" t="s">
        <v>214</v>
      </c>
      <c r="K9" s="1325"/>
      <c r="L9" s="1327"/>
      <c r="M9" s="1305" t="s">
        <v>502</v>
      </c>
      <c r="N9" s="1305"/>
      <c r="O9" s="1305"/>
      <c r="P9" s="1305"/>
    </row>
    <row r="10" spans="1:18" s="487" customFormat="1" ht="20.25" customHeight="1">
      <c r="A10" s="1286" t="s">
        <v>6</v>
      </c>
      <c r="B10" s="1287"/>
      <c r="C10" s="482">
        <v>1</v>
      </c>
      <c r="D10" s="483">
        <v>2</v>
      </c>
      <c r="E10" s="482">
        <v>3</v>
      </c>
      <c r="F10" s="483">
        <v>4</v>
      </c>
      <c r="G10" s="482">
        <v>5</v>
      </c>
      <c r="H10" s="483">
        <v>6</v>
      </c>
      <c r="I10" s="482">
        <v>7</v>
      </c>
      <c r="J10" s="483">
        <v>8</v>
      </c>
      <c r="K10" s="482">
        <v>9</v>
      </c>
      <c r="L10" s="483">
        <v>10</v>
      </c>
      <c r="M10" s="484" t="s">
        <v>503</v>
      </c>
      <c r="N10" s="485" t="s">
        <v>506</v>
      </c>
      <c r="O10" s="485" t="s">
        <v>504</v>
      </c>
      <c r="P10" s="485" t="s">
        <v>505</v>
      </c>
      <c r="Q10" s="486"/>
      <c r="R10" s="486"/>
    </row>
    <row r="11" spans="1:21" s="488" customFormat="1" ht="30" customHeight="1">
      <c r="A11" s="500" t="s">
        <v>0</v>
      </c>
      <c r="B11" s="427" t="s">
        <v>131</v>
      </c>
      <c r="C11" s="743">
        <v>4985670303</v>
      </c>
      <c r="D11" s="743">
        <v>233128434</v>
      </c>
      <c r="E11" s="743">
        <v>65907933</v>
      </c>
      <c r="F11" s="743">
        <v>266265</v>
      </c>
      <c r="G11" s="743">
        <v>38935141</v>
      </c>
      <c r="H11" s="743">
        <v>29425735</v>
      </c>
      <c r="I11" s="743">
        <v>85892115</v>
      </c>
      <c r="J11" s="743">
        <v>12701245</v>
      </c>
      <c r="K11" s="743">
        <v>4024530833</v>
      </c>
      <c r="L11" s="743">
        <v>728011036</v>
      </c>
      <c r="M11" s="700">
        <f aca="true" t="shared" si="0" ref="M11:R11">M12+M13</f>
        <v>4985670303</v>
      </c>
      <c r="N11" s="700">
        <f t="shared" si="0"/>
        <v>0</v>
      </c>
      <c r="O11" s="700">
        <f t="shared" si="0"/>
        <v>4985670303</v>
      </c>
      <c r="P11" s="700">
        <f t="shared" si="0"/>
        <v>0</v>
      </c>
      <c r="Q11" s="700">
        <f t="shared" si="0"/>
        <v>0</v>
      </c>
      <c r="R11" s="700">
        <f t="shared" si="0"/>
        <v>0</v>
      </c>
      <c r="T11" s="695"/>
      <c r="U11" s="695"/>
    </row>
    <row r="12" spans="1:21" s="488" customFormat="1" ht="30" customHeight="1">
      <c r="A12" s="501">
        <v>1</v>
      </c>
      <c r="B12" s="430" t="s">
        <v>132</v>
      </c>
      <c r="C12" s="747">
        <v>3209226708</v>
      </c>
      <c r="D12" s="748">
        <v>193945966</v>
      </c>
      <c r="E12" s="749">
        <v>55324256</v>
      </c>
      <c r="F12" s="749">
        <v>211815</v>
      </c>
      <c r="G12" s="749">
        <v>37709675</v>
      </c>
      <c r="H12" s="749">
        <v>15990738</v>
      </c>
      <c r="I12" s="749">
        <v>75460764</v>
      </c>
      <c r="J12" s="749">
        <v>9248718</v>
      </c>
      <c r="K12" s="749">
        <v>2796421905</v>
      </c>
      <c r="L12" s="749">
        <v>218858837</v>
      </c>
      <c r="M12" s="409">
        <f>'03'!C12+'04'!C12</f>
        <v>3209226708</v>
      </c>
      <c r="N12" s="409">
        <f aca="true" t="shared" si="1" ref="N12:N26">C12-M12</f>
        <v>0</v>
      </c>
      <c r="O12" s="409">
        <f>'07'!D11</f>
        <v>3209226708</v>
      </c>
      <c r="P12" s="409">
        <f aca="true" t="shared" si="2" ref="P12:P26">C12-O12</f>
        <v>0</v>
      </c>
      <c r="Q12" s="402"/>
      <c r="R12" s="428"/>
      <c r="T12" s="695"/>
      <c r="U12" s="695"/>
    </row>
    <row r="13" spans="1:21" s="488" customFormat="1" ht="30" customHeight="1">
      <c r="A13" s="501">
        <v>2</v>
      </c>
      <c r="B13" s="430" t="s">
        <v>133</v>
      </c>
      <c r="C13" s="747">
        <v>1776443595</v>
      </c>
      <c r="D13" s="748">
        <v>39182468</v>
      </c>
      <c r="E13" s="749">
        <v>10583677</v>
      </c>
      <c r="F13" s="749">
        <v>54450</v>
      </c>
      <c r="G13" s="749">
        <v>1225466</v>
      </c>
      <c r="H13" s="749">
        <v>13434997</v>
      </c>
      <c r="I13" s="749">
        <v>10431351</v>
      </c>
      <c r="J13" s="749">
        <v>3452527</v>
      </c>
      <c r="K13" s="749">
        <v>1228108928</v>
      </c>
      <c r="L13" s="749">
        <v>509152199</v>
      </c>
      <c r="M13" s="409">
        <f>'03'!C13+'04'!C13</f>
        <v>1776443595</v>
      </c>
      <c r="N13" s="409">
        <f t="shared" si="1"/>
        <v>0</v>
      </c>
      <c r="O13" s="409">
        <f>'07'!E11</f>
        <v>1776443595</v>
      </c>
      <c r="P13" s="409">
        <f t="shared" si="2"/>
        <v>0</v>
      </c>
      <c r="Q13" s="402"/>
      <c r="R13" s="428"/>
      <c r="T13" s="695"/>
      <c r="U13" s="695"/>
    </row>
    <row r="14" spans="1:21" s="488" customFormat="1" ht="30" customHeight="1">
      <c r="A14" s="502" t="s">
        <v>1</v>
      </c>
      <c r="B14" s="395" t="s">
        <v>134</v>
      </c>
      <c r="C14" s="747">
        <v>4732420</v>
      </c>
      <c r="D14" s="748">
        <v>213310</v>
      </c>
      <c r="E14" s="749">
        <v>135510</v>
      </c>
      <c r="F14" s="749">
        <v>0</v>
      </c>
      <c r="G14" s="749">
        <v>48400</v>
      </c>
      <c r="H14" s="749">
        <v>28400</v>
      </c>
      <c r="I14" s="749">
        <v>1000</v>
      </c>
      <c r="J14" s="749">
        <v>0</v>
      </c>
      <c r="K14" s="749">
        <v>4045660</v>
      </c>
      <c r="L14" s="749">
        <v>473450</v>
      </c>
      <c r="M14" s="409">
        <f>'03'!C14+'04'!C14</f>
        <v>4732420</v>
      </c>
      <c r="N14" s="409">
        <f t="shared" si="1"/>
        <v>0</v>
      </c>
      <c r="O14" s="409">
        <f>'07'!F11</f>
        <v>4732420</v>
      </c>
      <c r="P14" s="409">
        <f t="shared" si="2"/>
        <v>0</v>
      </c>
      <c r="Q14" s="390"/>
      <c r="R14" s="428"/>
      <c r="T14" s="695"/>
      <c r="U14" s="695"/>
    </row>
    <row r="15" spans="1:21" s="488" customFormat="1" ht="30" customHeight="1">
      <c r="A15" s="502" t="s">
        <v>9</v>
      </c>
      <c r="B15" s="395" t="s">
        <v>135</v>
      </c>
      <c r="C15" s="747">
        <v>9109528</v>
      </c>
      <c r="D15" s="748">
        <v>0</v>
      </c>
      <c r="E15" s="749">
        <v>0</v>
      </c>
      <c r="F15" s="749">
        <v>0</v>
      </c>
      <c r="G15" s="749">
        <v>0</v>
      </c>
      <c r="H15" s="749">
        <v>0</v>
      </c>
      <c r="I15" s="749">
        <v>0</v>
      </c>
      <c r="J15" s="749">
        <v>0</v>
      </c>
      <c r="K15" s="749">
        <v>9109528</v>
      </c>
      <c r="L15" s="749">
        <v>0</v>
      </c>
      <c r="M15" s="409">
        <f>'03'!C15+'04'!C15</f>
        <v>9109528</v>
      </c>
      <c r="N15" s="409">
        <f t="shared" si="1"/>
        <v>0</v>
      </c>
      <c r="O15" s="409">
        <f>'07'!G11</f>
        <v>9109528</v>
      </c>
      <c r="P15" s="409">
        <f t="shared" si="2"/>
        <v>0</v>
      </c>
      <c r="Q15" s="390"/>
      <c r="R15" s="390"/>
      <c r="T15" s="695"/>
      <c r="U15" s="695"/>
    </row>
    <row r="16" spans="1:21" s="488" customFormat="1" ht="30" customHeight="1">
      <c r="A16" s="502" t="s">
        <v>136</v>
      </c>
      <c r="B16" s="395" t="s">
        <v>137</v>
      </c>
      <c r="C16" s="747">
        <v>4980937883</v>
      </c>
      <c r="D16" s="747">
        <v>232915124</v>
      </c>
      <c r="E16" s="747">
        <v>65772423</v>
      </c>
      <c r="F16" s="747">
        <v>266265</v>
      </c>
      <c r="G16" s="747">
        <v>38886741</v>
      </c>
      <c r="H16" s="747">
        <v>29397335</v>
      </c>
      <c r="I16" s="747">
        <v>85891115</v>
      </c>
      <c r="J16" s="747">
        <v>12701245</v>
      </c>
      <c r="K16" s="747">
        <v>4020485173</v>
      </c>
      <c r="L16" s="747">
        <v>727537586</v>
      </c>
      <c r="M16" s="404">
        <f>'03'!C16+'04'!C16</f>
        <v>4980937883</v>
      </c>
      <c r="N16" s="404">
        <f t="shared" si="1"/>
        <v>0</v>
      </c>
      <c r="O16" s="404">
        <f>'07'!H11</f>
        <v>4980937883</v>
      </c>
      <c r="P16" s="404">
        <f t="shared" si="2"/>
        <v>0</v>
      </c>
      <c r="Q16" s="390"/>
      <c r="R16" s="390"/>
      <c r="T16" s="695"/>
      <c r="U16" s="695"/>
    </row>
    <row r="17" spans="1:21" s="488" customFormat="1" ht="30" customHeight="1">
      <c r="A17" s="502" t="s">
        <v>52</v>
      </c>
      <c r="B17" s="431" t="s">
        <v>138</v>
      </c>
      <c r="C17" s="747">
        <v>3369679897</v>
      </c>
      <c r="D17" s="747">
        <v>98590314</v>
      </c>
      <c r="E17" s="747">
        <v>32833989</v>
      </c>
      <c r="F17" s="747">
        <v>201815</v>
      </c>
      <c r="G17" s="747">
        <v>9061038</v>
      </c>
      <c r="H17" s="747">
        <v>18619519</v>
      </c>
      <c r="I17" s="747">
        <v>31907956</v>
      </c>
      <c r="J17" s="747">
        <v>5965997</v>
      </c>
      <c r="K17" s="747">
        <v>2631886075</v>
      </c>
      <c r="L17" s="747">
        <v>639203508</v>
      </c>
      <c r="M17" s="404">
        <f>'03'!C17+'04'!C17</f>
        <v>3369679897</v>
      </c>
      <c r="N17" s="404">
        <f t="shared" si="1"/>
        <v>0</v>
      </c>
      <c r="O17" s="404">
        <f>'07'!I11</f>
        <v>3369679897</v>
      </c>
      <c r="P17" s="404">
        <f t="shared" si="2"/>
        <v>0</v>
      </c>
      <c r="Q17" s="390"/>
      <c r="R17" s="390"/>
      <c r="T17" s="695"/>
      <c r="U17" s="695"/>
    </row>
    <row r="18" spans="1:21" s="488" customFormat="1" ht="30" customHeight="1">
      <c r="A18" s="501" t="s">
        <v>54</v>
      </c>
      <c r="B18" s="430" t="s">
        <v>139</v>
      </c>
      <c r="C18" s="747">
        <v>123654593</v>
      </c>
      <c r="D18" s="748">
        <v>5264798</v>
      </c>
      <c r="E18" s="750">
        <v>3433394</v>
      </c>
      <c r="F18" s="750">
        <v>44550</v>
      </c>
      <c r="G18" s="750">
        <v>577222</v>
      </c>
      <c r="H18" s="750">
        <v>201966</v>
      </c>
      <c r="I18" s="750">
        <v>231102</v>
      </c>
      <c r="J18" s="750">
        <v>776564</v>
      </c>
      <c r="K18" s="750">
        <v>95101266</v>
      </c>
      <c r="L18" s="750">
        <v>23288529</v>
      </c>
      <c r="M18" s="409">
        <f>'03'!C18+'04'!C18</f>
        <v>123654593</v>
      </c>
      <c r="N18" s="409">
        <f t="shared" si="1"/>
        <v>0</v>
      </c>
      <c r="O18" s="409">
        <f>'07'!J11</f>
        <v>123654593</v>
      </c>
      <c r="P18" s="409">
        <f t="shared" si="2"/>
        <v>0</v>
      </c>
      <c r="Q18" s="390"/>
      <c r="R18" s="390"/>
      <c r="S18" s="488">
        <f>4770342+228596+29461370+1474547+2225+619439</f>
        <v>36556519</v>
      </c>
      <c r="T18" s="695"/>
      <c r="U18" s="695"/>
    </row>
    <row r="19" spans="1:21" s="488" customFormat="1" ht="30" customHeight="1">
      <c r="A19" s="501" t="s">
        <v>55</v>
      </c>
      <c r="B19" s="430" t="s">
        <v>140</v>
      </c>
      <c r="C19" s="747">
        <v>9093094</v>
      </c>
      <c r="D19" s="748">
        <v>299579</v>
      </c>
      <c r="E19" s="750">
        <v>58741</v>
      </c>
      <c r="F19" s="750">
        <v>0</v>
      </c>
      <c r="G19" s="750">
        <v>232688</v>
      </c>
      <c r="H19" s="750">
        <v>7900</v>
      </c>
      <c r="I19" s="750">
        <v>250</v>
      </c>
      <c r="J19" s="750">
        <v>0</v>
      </c>
      <c r="K19" s="750">
        <v>6630724</v>
      </c>
      <c r="L19" s="750">
        <v>2162791</v>
      </c>
      <c r="M19" s="409">
        <f>'03'!C19+'04'!C19</f>
        <v>9093094</v>
      </c>
      <c r="N19" s="409">
        <f t="shared" si="1"/>
        <v>0</v>
      </c>
      <c r="O19" s="409">
        <f>'07'!K11</f>
        <v>9093094</v>
      </c>
      <c r="P19" s="409">
        <f t="shared" si="2"/>
        <v>0</v>
      </c>
      <c r="Q19" s="390"/>
      <c r="R19" s="390"/>
      <c r="T19" s="695"/>
      <c r="U19" s="695"/>
    </row>
    <row r="20" spans="1:21" s="488" customFormat="1" ht="30" customHeight="1">
      <c r="A20" s="501" t="s">
        <v>141</v>
      </c>
      <c r="B20" s="430" t="s">
        <v>202</v>
      </c>
      <c r="C20" s="747">
        <v>5306</v>
      </c>
      <c r="D20" s="748">
        <v>5306</v>
      </c>
      <c r="E20" s="750">
        <v>0</v>
      </c>
      <c r="F20" s="750">
        <v>0</v>
      </c>
      <c r="G20" s="750">
        <v>5306</v>
      </c>
      <c r="H20" s="750">
        <v>0</v>
      </c>
      <c r="I20" s="750">
        <v>0</v>
      </c>
      <c r="J20" s="750">
        <v>0</v>
      </c>
      <c r="K20" s="750">
        <v>0</v>
      </c>
      <c r="L20" s="750">
        <v>0</v>
      </c>
      <c r="M20" s="409">
        <f>'03'!C20</f>
        <v>5306</v>
      </c>
      <c r="N20" s="409">
        <f t="shared" si="1"/>
        <v>0</v>
      </c>
      <c r="O20" s="409">
        <f>'07'!L11</f>
        <v>5306</v>
      </c>
      <c r="P20" s="409">
        <f t="shared" si="2"/>
        <v>0</v>
      </c>
      <c r="Q20" s="390"/>
      <c r="R20" s="390"/>
      <c r="T20" s="695"/>
      <c r="U20" s="695"/>
    </row>
    <row r="21" spans="1:21" s="488" customFormat="1" ht="30" customHeight="1">
      <c r="A21" s="501" t="s">
        <v>143</v>
      </c>
      <c r="B21" s="430" t="s">
        <v>142</v>
      </c>
      <c r="C21" s="747">
        <v>3192792827</v>
      </c>
      <c r="D21" s="748">
        <v>92657285</v>
      </c>
      <c r="E21" s="750">
        <v>28978508</v>
      </c>
      <c r="F21" s="750">
        <v>157265</v>
      </c>
      <c r="G21" s="750">
        <v>8245822</v>
      </c>
      <c r="H21" s="750">
        <v>18409653</v>
      </c>
      <c r="I21" s="750">
        <v>31676604</v>
      </c>
      <c r="J21" s="750">
        <v>5189433</v>
      </c>
      <c r="K21" s="750">
        <v>2489784525</v>
      </c>
      <c r="L21" s="750">
        <v>610351017</v>
      </c>
      <c r="M21" s="409">
        <f>'03'!C21+'04'!C20</f>
        <v>3192792827</v>
      </c>
      <c r="N21" s="409">
        <f t="shared" si="1"/>
        <v>0</v>
      </c>
      <c r="O21" s="409">
        <f>'07'!M11</f>
        <v>3192792827</v>
      </c>
      <c r="P21" s="409">
        <f t="shared" si="2"/>
        <v>0</v>
      </c>
      <c r="Q21" s="390"/>
      <c r="R21" s="390"/>
      <c r="T21" s="695"/>
      <c r="U21" s="695"/>
    </row>
    <row r="22" spans="1:21" s="488" customFormat="1" ht="30" customHeight="1">
      <c r="A22" s="501" t="s">
        <v>145</v>
      </c>
      <c r="B22" s="430" t="s">
        <v>144</v>
      </c>
      <c r="C22" s="747">
        <v>15858503</v>
      </c>
      <c r="D22" s="748">
        <v>101686</v>
      </c>
      <c r="E22" s="750">
        <v>101686</v>
      </c>
      <c r="F22" s="750">
        <v>0</v>
      </c>
      <c r="G22" s="750">
        <v>0</v>
      </c>
      <c r="H22" s="750">
        <v>0</v>
      </c>
      <c r="I22" s="750">
        <v>0</v>
      </c>
      <c r="J22" s="750">
        <v>0</v>
      </c>
      <c r="K22" s="750">
        <v>15097839</v>
      </c>
      <c r="L22" s="750">
        <v>658978</v>
      </c>
      <c r="M22" s="409">
        <f>'03'!C22+'04'!C21</f>
        <v>15858503</v>
      </c>
      <c r="N22" s="409">
        <f t="shared" si="1"/>
        <v>0</v>
      </c>
      <c r="O22" s="409">
        <f>'07'!N11</f>
        <v>15858503</v>
      </c>
      <c r="P22" s="409">
        <f t="shared" si="2"/>
        <v>0</v>
      </c>
      <c r="Q22" s="390"/>
      <c r="R22" s="390"/>
      <c r="T22" s="695"/>
      <c r="U22" s="695"/>
    </row>
    <row r="23" spans="1:21" s="488" customFormat="1" ht="30" customHeight="1">
      <c r="A23" s="501" t="s">
        <v>147</v>
      </c>
      <c r="B23" s="430" t="s">
        <v>146</v>
      </c>
      <c r="C23" s="747">
        <v>25075796</v>
      </c>
      <c r="D23" s="748">
        <v>142035</v>
      </c>
      <c r="E23" s="750">
        <v>142035</v>
      </c>
      <c r="F23" s="750">
        <v>0</v>
      </c>
      <c r="G23" s="750">
        <v>0</v>
      </c>
      <c r="H23" s="750">
        <v>0</v>
      </c>
      <c r="I23" s="750">
        <v>0</v>
      </c>
      <c r="J23" s="750">
        <v>0</v>
      </c>
      <c r="K23" s="750">
        <v>24933761</v>
      </c>
      <c r="L23" s="750">
        <v>0</v>
      </c>
      <c r="M23" s="409">
        <f>'03'!C23+'04'!C22</f>
        <v>25075796</v>
      </c>
      <c r="N23" s="409">
        <f t="shared" si="1"/>
        <v>0</v>
      </c>
      <c r="O23" s="409">
        <f>'07'!O11</f>
        <v>25075796</v>
      </c>
      <c r="P23" s="409">
        <f t="shared" si="2"/>
        <v>0</v>
      </c>
      <c r="Q23" s="390"/>
      <c r="R23" s="390"/>
      <c r="T23" s="695"/>
      <c r="U23" s="695"/>
    </row>
    <row r="24" spans="1:21" s="488" customFormat="1" ht="30" customHeight="1">
      <c r="A24" s="501" t="s">
        <v>149</v>
      </c>
      <c r="B24" s="432" t="s">
        <v>148</v>
      </c>
      <c r="C24" s="747">
        <v>0</v>
      </c>
      <c r="D24" s="748">
        <v>0</v>
      </c>
      <c r="E24" s="750">
        <v>0</v>
      </c>
      <c r="F24" s="750">
        <v>0</v>
      </c>
      <c r="G24" s="750">
        <v>0</v>
      </c>
      <c r="H24" s="750">
        <v>0</v>
      </c>
      <c r="I24" s="750">
        <v>0</v>
      </c>
      <c r="J24" s="750">
        <v>0</v>
      </c>
      <c r="K24" s="750">
        <v>0</v>
      </c>
      <c r="L24" s="750">
        <v>0</v>
      </c>
      <c r="M24" s="409">
        <f>'03'!C24+'04'!C23</f>
        <v>0</v>
      </c>
      <c r="N24" s="409">
        <f t="shared" si="1"/>
        <v>0</v>
      </c>
      <c r="O24" s="409">
        <f>'07'!P11</f>
        <v>0</v>
      </c>
      <c r="P24" s="409">
        <f t="shared" si="2"/>
        <v>0</v>
      </c>
      <c r="Q24" s="390"/>
      <c r="R24" s="390"/>
      <c r="T24" s="695"/>
      <c r="U24" s="695"/>
    </row>
    <row r="25" spans="1:21" s="488" customFormat="1" ht="30" customHeight="1">
      <c r="A25" s="501" t="s">
        <v>186</v>
      </c>
      <c r="B25" s="430" t="s">
        <v>150</v>
      </c>
      <c r="C25" s="747">
        <v>3199778</v>
      </c>
      <c r="D25" s="748">
        <v>119625</v>
      </c>
      <c r="E25" s="750">
        <v>119625</v>
      </c>
      <c r="F25" s="750">
        <v>0</v>
      </c>
      <c r="G25" s="750">
        <v>0</v>
      </c>
      <c r="H25" s="750">
        <v>0</v>
      </c>
      <c r="I25" s="750">
        <v>0</v>
      </c>
      <c r="J25" s="750">
        <v>0</v>
      </c>
      <c r="K25" s="750">
        <v>337960</v>
      </c>
      <c r="L25" s="750">
        <v>2742193</v>
      </c>
      <c r="M25" s="409">
        <f>'03'!C25+'04'!C24</f>
        <v>3199778</v>
      </c>
      <c r="N25" s="409">
        <f t="shared" si="1"/>
        <v>0</v>
      </c>
      <c r="O25" s="409">
        <f>'07'!Q11</f>
        <v>3199778</v>
      </c>
      <c r="P25" s="409">
        <f t="shared" si="2"/>
        <v>0</v>
      </c>
      <c r="Q25" s="390"/>
      <c r="R25" s="390"/>
      <c r="T25" s="695"/>
      <c r="U25" s="695"/>
    </row>
    <row r="26" spans="1:21" s="488" customFormat="1" ht="30" customHeight="1">
      <c r="A26" s="502" t="s">
        <v>53</v>
      </c>
      <c r="B26" s="395" t="s">
        <v>151</v>
      </c>
      <c r="C26" s="747">
        <v>1611257986</v>
      </c>
      <c r="D26" s="748">
        <v>134324810</v>
      </c>
      <c r="E26" s="750">
        <v>32938434</v>
      </c>
      <c r="F26" s="750">
        <v>64450</v>
      </c>
      <c r="G26" s="750">
        <v>29825703</v>
      </c>
      <c r="H26" s="750">
        <v>10777816</v>
      </c>
      <c r="I26" s="750">
        <v>53983159</v>
      </c>
      <c r="J26" s="750">
        <v>6735248</v>
      </c>
      <c r="K26" s="750">
        <v>1388599098</v>
      </c>
      <c r="L26" s="750">
        <v>88334078</v>
      </c>
      <c r="M26" s="404">
        <f>'03'!C26+'04'!C25</f>
        <v>1611257986</v>
      </c>
      <c r="N26" s="404">
        <f t="shared" si="1"/>
        <v>0</v>
      </c>
      <c r="O26" s="404">
        <f>'07'!R11</f>
        <v>1611257986</v>
      </c>
      <c r="P26" s="404">
        <f t="shared" si="2"/>
        <v>0</v>
      </c>
      <c r="Q26" s="390"/>
      <c r="R26" s="390"/>
      <c r="T26" s="695"/>
      <c r="U26" s="695"/>
    </row>
    <row r="27" spans="1:18" s="488" customFormat="1" ht="30" customHeight="1">
      <c r="A27" s="528" t="s">
        <v>555</v>
      </c>
      <c r="B27" s="489" t="s">
        <v>215</v>
      </c>
      <c r="C27" s="527">
        <f>(C18+C19+C20)/C17</f>
        <v>0.0393963216263328</v>
      </c>
      <c r="D27" s="527">
        <f aca="true" t="shared" si="3" ref="D27:L27">(D18+D19+D20)/D17</f>
        <v>0.056493206827599715</v>
      </c>
      <c r="E27" s="527">
        <f t="shared" si="3"/>
        <v>0.10635731771732031</v>
      </c>
      <c r="F27" s="527">
        <f t="shared" si="3"/>
        <v>0.22074672348437926</v>
      </c>
      <c r="G27" s="527">
        <f t="shared" si="3"/>
        <v>0.08996938319870196</v>
      </c>
      <c r="H27" s="527">
        <f t="shared" si="3"/>
        <v>0.011271290090791282</v>
      </c>
      <c r="I27" s="527">
        <f t="shared" si="3"/>
        <v>0.0072506054602808154</v>
      </c>
      <c r="J27" s="527">
        <f t="shared" si="3"/>
        <v>0.13016500008297022</v>
      </c>
      <c r="K27" s="527">
        <f t="shared" si="3"/>
        <v>0.03865364499107356</v>
      </c>
      <c r="L27" s="527">
        <f t="shared" si="3"/>
        <v>0.03981724080275229</v>
      </c>
      <c r="M27" s="423"/>
      <c r="N27" s="490"/>
      <c r="O27" s="490"/>
      <c r="P27" s="490"/>
      <c r="Q27" s="390"/>
      <c r="R27" s="390"/>
    </row>
    <row r="28" spans="1:18" s="488" customFormat="1" ht="30" customHeight="1" hidden="1">
      <c r="A28" s="1288" t="s">
        <v>500</v>
      </c>
      <c r="B28" s="1288"/>
      <c r="C28" s="409">
        <f>C11-C14-C15-C16</f>
        <v>-9109528</v>
      </c>
      <c r="D28" s="409">
        <f aca="true" t="shared" si="4" ref="D28:L28">D11-D14-D15-D16</f>
        <v>0</v>
      </c>
      <c r="E28" s="409">
        <f t="shared" si="4"/>
        <v>0</v>
      </c>
      <c r="F28" s="409">
        <f t="shared" si="4"/>
        <v>0</v>
      </c>
      <c r="G28" s="409">
        <f t="shared" si="4"/>
        <v>0</v>
      </c>
      <c r="H28" s="409">
        <f t="shared" si="4"/>
        <v>0</v>
      </c>
      <c r="I28" s="409">
        <f t="shared" si="4"/>
        <v>0</v>
      </c>
      <c r="J28" s="409">
        <f t="shared" si="4"/>
        <v>0</v>
      </c>
      <c r="K28" s="409">
        <f t="shared" si="4"/>
        <v>-9109528</v>
      </c>
      <c r="L28" s="409">
        <f t="shared" si="4"/>
        <v>0</v>
      </c>
      <c r="M28" s="423"/>
      <c r="N28" s="490"/>
      <c r="O28" s="490"/>
      <c r="P28" s="490"/>
      <c r="Q28" s="390"/>
      <c r="R28" s="390"/>
    </row>
    <row r="29" spans="1:18" s="488" customFormat="1" ht="30" customHeight="1" hidden="1">
      <c r="A29" s="1283" t="s">
        <v>501</v>
      </c>
      <c r="B29" s="1283"/>
      <c r="C29" s="409">
        <f>C16-C17-C26</f>
        <v>0</v>
      </c>
      <c r="D29" s="409">
        <f aca="true" t="shared" si="5" ref="D29:L29">D16-D17-D26</f>
        <v>0</v>
      </c>
      <c r="E29" s="409">
        <f t="shared" si="5"/>
        <v>0</v>
      </c>
      <c r="F29" s="409">
        <f t="shared" si="5"/>
        <v>0</v>
      </c>
      <c r="G29" s="409">
        <f t="shared" si="5"/>
        <v>0</v>
      </c>
      <c r="H29" s="409">
        <f t="shared" si="5"/>
        <v>0</v>
      </c>
      <c r="I29" s="409">
        <f t="shared" si="5"/>
        <v>0</v>
      </c>
      <c r="J29" s="409">
        <f t="shared" si="5"/>
        <v>0</v>
      </c>
      <c r="K29" s="409">
        <f t="shared" si="5"/>
        <v>0</v>
      </c>
      <c r="L29" s="409">
        <f t="shared" si="5"/>
        <v>0</v>
      </c>
      <c r="M29" s="423"/>
      <c r="N29" s="490"/>
      <c r="O29" s="490"/>
      <c r="P29" s="490"/>
      <c r="Q29" s="390"/>
      <c r="R29" s="390"/>
    </row>
    <row r="30" spans="1:18" s="466" customFormat="1" ht="27.75" customHeight="1">
      <c r="A30" s="475"/>
      <c r="B30" s="491"/>
      <c r="C30" s="491"/>
      <c r="D30" s="464"/>
      <c r="E30" s="464"/>
      <c r="F30" s="464"/>
      <c r="G30" s="539"/>
      <c r="H30" s="539"/>
      <c r="I30" s="1280" t="str">
        <f>'Thong tin'!B8</f>
        <v>Hải Phòng, ngày 04 tháng 01 năm 2018</v>
      </c>
      <c r="J30" s="1280"/>
      <c r="K30" s="1280"/>
      <c r="L30" s="1280"/>
      <c r="M30" s="478"/>
      <c r="N30" s="478"/>
      <c r="O30" s="478"/>
      <c r="P30" s="478"/>
      <c r="Q30" s="478"/>
      <c r="R30" s="478"/>
    </row>
    <row r="31" spans="1:18" s="466" customFormat="1" ht="21" customHeight="1">
      <c r="A31" s="1258" t="s">
        <v>4</v>
      </c>
      <c r="B31" s="1258"/>
      <c r="C31" s="1258"/>
      <c r="D31" s="1258"/>
      <c r="E31" s="531"/>
      <c r="F31" s="531"/>
      <c r="G31" s="540"/>
      <c r="H31" s="1331" t="str">
        <f>'Thong tin'!B7</f>
        <v>
PHÓ CỤC TRƯỞNG</v>
      </c>
      <c r="I31" s="1331"/>
      <c r="J31" s="1331"/>
      <c r="K31" s="1331"/>
      <c r="L31" s="1331"/>
      <c r="M31" s="478"/>
      <c r="N31" s="478"/>
      <c r="O31" s="478"/>
      <c r="P31" s="478"/>
      <c r="Q31" s="478"/>
      <c r="R31" s="478"/>
    </row>
    <row r="32" spans="1:18" s="466" customFormat="1" ht="15" customHeight="1">
      <c r="A32" s="523"/>
      <c r="B32" s="1333"/>
      <c r="C32" s="1333"/>
      <c r="D32" s="541"/>
      <c r="E32" s="541"/>
      <c r="F32" s="531"/>
      <c r="G32" s="1319"/>
      <c r="H32" s="1319"/>
      <c r="I32" s="1319"/>
      <c r="J32" s="1319"/>
      <c r="K32" s="1319"/>
      <c r="L32" s="1319"/>
      <c r="M32" s="493"/>
      <c r="N32" s="493"/>
      <c r="O32" s="493"/>
      <c r="P32" s="493"/>
      <c r="Q32" s="478"/>
      <c r="R32" s="478"/>
    </row>
    <row r="33" spans="1:18" s="656" customFormat="1" ht="18.75">
      <c r="A33" s="653"/>
      <c r="B33" s="734"/>
      <c r="C33" s="648">
        <f>C11-C14-C16</f>
        <v>0</v>
      </c>
      <c r="D33" s="648">
        <f aca="true" t="shared" si="6" ref="D33:L33">D11-D14-D16</f>
        <v>0</v>
      </c>
      <c r="E33" s="648">
        <f t="shared" si="6"/>
        <v>0</v>
      </c>
      <c r="F33" s="648">
        <f t="shared" si="6"/>
        <v>0</v>
      </c>
      <c r="G33" s="648">
        <f t="shared" si="6"/>
        <v>0</v>
      </c>
      <c r="H33" s="648">
        <f t="shared" si="6"/>
        <v>0</v>
      </c>
      <c r="I33" s="648">
        <f t="shared" si="6"/>
        <v>0</v>
      </c>
      <c r="J33" s="648">
        <f t="shared" si="6"/>
        <v>0</v>
      </c>
      <c r="K33" s="648">
        <f t="shared" si="6"/>
        <v>0</v>
      </c>
      <c r="L33" s="648">
        <f t="shared" si="6"/>
        <v>0</v>
      </c>
      <c r="M33" s="653"/>
      <c r="N33" s="653"/>
      <c r="O33" s="653"/>
      <c r="P33" s="653"/>
      <c r="Q33" s="653"/>
      <c r="R33" s="653"/>
    </row>
    <row r="34" spans="1:18" s="436" customFormat="1" ht="15.75">
      <c r="A34" s="542"/>
      <c r="B34" s="1313"/>
      <c r="C34" s="1313"/>
      <c r="D34" s="525"/>
      <c r="E34" s="525"/>
      <c r="F34" s="525"/>
      <c r="G34" s="525"/>
      <c r="H34" s="525"/>
      <c r="I34" s="525"/>
      <c r="J34" s="525"/>
      <c r="K34" s="525"/>
      <c r="L34" s="525"/>
      <c r="M34" s="449"/>
      <c r="N34" s="435"/>
      <c r="O34" s="435"/>
      <c r="P34" s="435"/>
      <c r="Q34" s="435"/>
      <c r="R34" s="435"/>
    </row>
    <row r="35" spans="1:18" s="436" customFormat="1" ht="15">
      <c r="A35" s="543"/>
      <c r="B35" s="543"/>
      <c r="C35" s="647">
        <f>C11-C14-C16</f>
        <v>0</v>
      </c>
      <c r="D35" s="543"/>
      <c r="E35" s="543"/>
      <c r="F35" s="543"/>
      <c r="G35" s="543"/>
      <c r="H35" s="543"/>
      <c r="I35" s="543"/>
      <c r="J35" s="543"/>
      <c r="K35" s="543"/>
      <c r="L35" s="543"/>
      <c r="M35" s="435"/>
      <c r="N35" s="435"/>
      <c r="O35" s="435"/>
      <c r="P35" s="435"/>
      <c r="Q35" s="435"/>
      <c r="R35" s="435"/>
    </row>
    <row r="36" spans="1:18" s="436" customFormat="1" ht="15">
      <c r="A36" s="543"/>
      <c r="B36" s="543"/>
      <c r="C36" s="647"/>
      <c r="D36" s="647"/>
      <c r="E36" s="647"/>
      <c r="F36" s="647"/>
      <c r="G36" s="647"/>
      <c r="H36" s="647"/>
      <c r="I36" s="647"/>
      <c r="J36" s="647"/>
      <c r="K36" s="647"/>
      <c r="L36" s="647"/>
      <c r="M36" s="435"/>
      <c r="N36" s="435"/>
      <c r="O36" s="435"/>
      <c r="P36" s="435"/>
      <c r="Q36" s="435"/>
      <c r="R36" s="435"/>
    </row>
    <row r="37" spans="1:12" ht="15">
      <c r="A37" s="543"/>
      <c r="B37" s="543"/>
      <c r="C37" s="543"/>
      <c r="D37" s="543"/>
      <c r="E37" s="543"/>
      <c r="F37" s="543"/>
      <c r="G37" s="543"/>
      <c r="H37" s="543"/>
      <c r="I37" s="543"/>
      <c r="J37" s="543"/>
      <c r="K37" s="543"/>
      <c r="L37" s="543"/>
    </row>
    <row r="38" spans="1:12" ht="15">
      <c r="A38" s="543"/>
      <c r="B38" s="543"/>
      <c r="C38" s="543"/>
      <c r="D38" s="543"/>
      <c r="E38" s="543"/>
      <c r="F38" s="543"/>
      <c r="G38" s="543"/>
      <c r="H38" s="543"/>
      <c r="I38" s="543"/>
      <c r="J38" s="543"/>
      <c r="K38" s="543"/>
      <c r="L38" s="543"/>
    </row>
    <row r="39" spans="1:12" ht="18.75">
      <c r="A39" s="1258" t="str">
        <f>'Thong tin'!B5</f>
        <v>Trần Thị Minh</v>
      </c>
      <c r="B39" s="1258"/>
      <c r="C39" s="1258"/>
      <c r="D39" s="1258"/>
      <c r="E39" s="543"/>
      <c r="F39" s="543"/>
      <c r="G39" s="543"/>
      <c r="H39" s="1258" t="str">
        <f>'Thong tin'!B6</f>
        <v>Nguyễn Thị Mai Hoa</v>
      </c>
      <c r="I39" s="1258"/>
      <c r="J39" s="1258"/>
      <c r="K39" s="1258"/>
      <c r="L39" s="1258"/>
    </row>
    <row r="47" spans="1:13" ht="16.5" hidden="1">
      <c r="A47" s="1301" t="s">
        <v>33</v>
      </c>
      <c r="B47" s="1302"/>
      <c r="C47" s="474"/>
      <c r="D47" s="1303" t="s">
        <v>79</v>
      </c>
      <c r="E47" s="1303"/>
      <c r="F47" s="1303"/>
      <c r="G47" s="1303"/>
      <c r="H47" s="1303"/>
      <c r="I47" s="1303"/>
      <c r="J47" s="1303"/>
      <c r="K47" s="1294"/>
      <c r="L47" s="1294"/>
      <c r="M47" s="478"/>
    </row>
    <row r="48" spans="1:13" ht="16.5" hidden="1">
      <c r="A48" s="1270" t="s">
        <v>344</v>
      </c>
      <c r="B48" s="1270"/>
      <c r="C48" s="1270"/>
      <c r="D48" s="1303" t="s">
        <v>216</v>
      </c>
      <c r="E48" s="1303"/>
      <c r="F48" s="1303"/>
      <c r="G48" s="1303"/>
      <c r="H48" s="1303"/>
      <c r="I48" s="1303"/>
      <c r="J48" s="1303"/>
      <c r="K48" s="1299" t="s">
        <v>507</v>
      </c>
      <c r="L48" s="1299"/>
      <c r="M48" s="475"/>
    </row>
    <row r="49" spans="1:13" ht="16.5" hidden="1">
      <c r="A49" s="1270" t="s">
        <v>345</v>
      </c>
      <c r="B49" s="1270"/>
      <c r="C49" s="413"/>
      <c r="D49" s="1293" t="s">
        <v>11</v>
      </c>
      <c r="E49" s="1293"/>
      <c r="F49" s="1293"/>
      <c r="G49" s="1293"/>
      <c r="H49" s="1293"/>
      <c r="I49" s="1293"/>
      <c r="J49" s="1293"/>
      <c r="K49" s="1294"/>
      <c r="L49" s="1294"/>
      <c r="M49" s="478"/>
    </row>
    <row r="50" spans="1:13" ht="15.75" hidden="1">
      <c r="A50" s="434" t="s">
        <v>119</v>
      </c>
      <c r="B50" s="434"/>
      <c r="C50" s="419"/>
      <c r="D50" s="479"/>
      <c r="E50" s="479"/>
      <c r="F50" s="480"/>
      <c r="G50" s="480"/>
      <c r="H50" s="480"/>
      <c r="I50" s="480"/>
      <c r="J50" s="480"/>
      <c r="K50" s="1289"/>
      <c r="L50" s="1289"/>
      <c r="M50" s="475"/>
    </row>
    <row r="51" spans="1:13" ht="15.75" hidden="1">
      <c r="A51" s="479"/>
      <c r="B51" s="479" t="s">
        <v>94</v>
      </c>
      <c r="C51" s="479"/>
      <c r="D51" s="479"/>
      <c r="E51" s="479"/>
      <c r="F51" s="479"/>
      <c r="G51" s="479"/>
      <c r="H51" s="479"/>
      <c r="I51" s="479"/>
      <c r="J51" s="479"/>
      <c r="K51" s="1300"/>
      <c r="L51" s="1300"/>
      <c r="M51" s="475"/>
    </row>
    <row r="52" spans="1:13" ht="15.75" hidden="1">
      <c r="A52" s="932" t="s">
        <v>71</v>
      </c>
      <c r="B52" s="933"/>
      <c r="C52" s="1284" t="s">
        <v>38</v>
      </c>
      <c r="D52" s="1309" t="s">
        <v>339</v>
      </c>
      <c r="E52" s="1309"/>
      <c r="F52" s="1309"/>
      <c r="G52" s="1309"/>
      <c r="H52" s="1309"/>
      <c r="I52" s="1309"/>
      <c r="J52" s="1309"/>
      <c r="K52" s="1309"/>
      <c r="L52" s="1309"/>
      <c r="M52" s="478"/>
    </row>
    <row r="53" spans="1:13" ht="15.75" hidden="1">
      <c r="A53" s="934"/>
      <c r="B53" s="935"/>
      <c r="C53" s="1284"/>
      <c r="D53" s="1310" t="s">
        <v>207</v>
      </c>
      <c r="E53" s="1311"/>
      <c r="F53" s="1311"/>
      <c r="G53" s="1311"/>
      <c r="H53" s="1311"/>
      <c r="I53" s="1311"/>
      <c r="J53" s="1312"/>
      <c r="K53" s="1290" t="s">
        <v>208</v>
      </c>
      <c r="L53" s="1290" t="s">
        <v>209</v>
      </c>
      <c r="M53" s="475"/>
    </row>
    <row r="54" spans="1:13" ht="15.75" hidden="1">
      <c r="A54" s="934"/>
      <c r="B54" s="935"/>
      <c r="C54" s="1284"/>
      <c r="D54" s="1285" t="s">
        <v>37</v>
      </c>
      <c r="E54" s="1306" t="s">
        <v>7</v>
      </c>
      <c r="F54" s="1307"/>
      <c r="G54" s="1307"/>
      <c r="H54" s="1307"/>
      <c r="I54" s="1307"/>
      <c r="J54" s="1308"/>
      <c r="K54" s="1297"/>
      <c r="L54" s="1291"/>
      <c r="M54" s="475"/>
    </row>
    <row r="55" spans="1:16" ht="15.75" hidden="1">
      <c r="A55" s="1295"/>
      <c r="B55" s="1296"/>
      <c r="C55" s="1284"/>
      <c r="D55" s="1285"/>
      <c r="E55" s="481" t="s">
        <v>210</v>
      </c>
      <c r="F55" s="481" t="s">
        <v>211</v>
      </c>
      <c r="G55" s="481" t="s">
        <v>212</v>
      </c>
      <c r="H55" s="481" t="s">
        <v>213</v>
      </c>
      <c r="I55" s="481" t="s">
        <v>346</v>
      </c>
      <c r="J55" s="481" t="s">
        <v>214</v>
      </c>
      <c r="K55" s="1298"/>
      <c r="L55" s="1292"/>
      <c r="M55" s="1305" t="s">
        <v>502</v>
      </c>
      <c r="N55" s="1305"/>
      <c r="O55" s="1305"/>
      <c r="P55" s="1305"/>
    </row>
    <row r="56" spans="1:16" ht="15" hidden="1">
      <c r="A56" s="1286" t="s">
        <v>6</v>
      </c>
      <c r="B56" s="1287"/>
      <c r="C56" s="482">
        <v>1</v>
      </c>
      <c r="D56" s="483">
        <v>2</v>
      </c>
      <c r="E56" s="482">
        <v>3</v>
      </c>
      <c r="F56" s="483">
        <v>4</v>
      </c>
      <c r="G56" s="482">
        <v>5</v>
      </c>
      <c r="H56" s="483">
        <v>6</v>
      </c>
      <c r="I56" s="482">
        <v>7</v>
      </c>
      <c r="J56" s="483">
        <v>8</v>
      </c>
      <c r="K56" s="482">
        <v>9</v>
      </c>
      <c r="L56" s="483">
        <v>10</v>
      </c>
      <c r="M56" s="484" t="s">
        <v>503</v>
      </c>
      <c r="N56" s="485" t="s">
        <v>506</v>
      </c>
      <c r="O56" s="485" t="s">
        <v>504</v>
      </c>
      <c r="P56" s="485" t="s">
        <v>505</v>
      </c>
    </row>
    <row r="57" spans="1:16" ht="24.75" customHeight="1" hidden="1">
      <c r="A57" s="426" t="s">
        <v>0</v>
      </c>
      <c r="B57" s="427" t="s">
        <v>131</v>
      </c>
      <c r="C57" s="404">
        <f>C58+C59</f>
        <v>1227010</v>
      </c>
      <c r="D57" s="404">
        <f aca="true" t="shared" si="7" ref="D57:L57">D58+D59</f>
        <v>730216</v>
      </c>
      <c r="E57" s="404">
        <f t="shared" si="7"/>
        <v>318858</v>
      </c>
      <c r="F57" s="404">
        <f t="shared" si="7"/>
        <v>0</v>
      </c>
      <c r="G57" s="404">
        <f t="shared" si="7"/>
        <v>359311</v>
      </c>
      <c r="H57" s="404">
        <f t="shared" si="7"/>
        <v>25503</v>
      </c>
      <c r="I57" s="404">
        <f t="shared" si="7"/>
        <v>12500</v>
      </c>
      <c r="J57" s="404">
        <f t="shared" si="7"/>
        <v>14044</v>
      </c>
      <c r="K57" s="404">
        <f t="shared" si="7"/>
        <v>496794</v>
      </c>
      <c r="L57" s="404">
        <f t="shared" si="7"/>
        <v>0</v>
      </c>
      <c r="M57" s="404" t="e">
        <f>'03'!#REF!+'04'!#REF!</f>
        <v>#REF!</v>
      </c>
      <c r="N57" s="404" t="e">
        <f>C57-M57</f>
        <v>#REF!</v>
      </c>
      <c r="O57" s="404" t="e">
        <f>'07'!#REF!</f>
        <v>#REF!</v>
      </c>
      <c r="P57" s="404" t="e">
        <f>C57-O57</f>
        <v>#REF!</v>
      </c>
    </row>
    <row r="58" spans="1:16" ht="24.75" customHeight="1" hidden="1">
      <c r="A58" s="429">
        <v>1</v>
      </c>
      <c r="B58" s="430"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8" ref="N58:N72">C58-M58</f>
        <v>#REF!</v>
      </c>
      <c r="O58" s="409" t="e">
        <f>'07'!#REF!</f>
        <v>#REF!</v>
      </c>
      <c r="P58" s="409" t="e">
        <f aca="true" t="shared" si="9" ref="P58:P72">C58-O58</f>
        <v>#REF!</v>
      </c>
    </row>
    <row r="59" spans="1:16" ht="24.75" customHeight="1" hidden="1">
      <c r="A59" s="429">
        <v>2</v>
      </c>
      <c r="B59" s="430"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8"/>
        <v>#REF!</v>
      </c>
      <c r="O59" s="409" t="e">
        <f>'07'!#REF!</f>
        <v>#REF!</v>
      </c>
      <c r="P59" s="409" t="e">
        <f t="shared" si="9"/>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8"/>
        <v>#REF!</v>
      </c>
      <c r="O60" s="409" t="e">
        <f>'07'!#REF!</f>
        <v>#REF!</v>
      </c>
      <c r="P60" s="409" t="e">
        <f t="shared" si="9"/>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8"/>
        <v>#REF!</v>
      </c>
      <c r="O61" s="409" t="e">
        <f>'07'!#REF!</f>
        <v>#REF!</v>
      </c>
      <c r="P61" s="409" t="e">
        <f t="shared" si="9"/>
        <v>#REF!</v>
      </c>
    </row>
    <row r="62" spans="1:16" ht="24.75" customHeight="1" hidden="1">
      <c r="A62" s="394" t="s">
        <v>136</v>
      </c>
      <c r="B62" s="395" t="s">
        <v>137</v>
      </c>
      <c r="C62" s="404">
        <f>C63+C72</f>
        <v>1196161</v>
      </c>
      <c r="D62" s="404">
        <f aca="true" t="shared" si="10" ref="D62:L62">D63+D72</f>
        <v>699367</v>
      </c>
      <c r="E62" s="404">
        <f t="shared" si="10"/>
        <v>300509</v>
      </c>
      <c r="F62" s="404">
        <f t="shared" si="10"/>
        <v>0</v>
      </c>
      <c r="G62" s="404">
        <f t="shared" si="10"/>
        <v>359311</v>
      </c>
      <c r="H62" s="404">
        <f t="shared" si="10"/>
        <v>25503</v>
      </c>
      <c r="I62" s="404">
        <f t="shared" si="10"/>
        <v>0</v>
      </c>
      <c r="J62" s="404">
        <f t="shared" si="10"/>
        <v>14044</v>
      </c>
      <c r="K62" s="404">
        <f t="shared" si="10"/>
        <v>496794</v>
      </c>
      <c r="L62" s="404">
        <f t="shared" si="10"/>
        <v>0</v>
      </c>
      <c r="M62" s="404" t="e">
        <f>'03'!#REF!+'04'!#REF!</f>
        <v>#REF!</v>
      </c>
      <c r="N62" s="404" t="e">
        <f t="shared" si="8"/>
        <v>#REF!</v>
      </c>
      <c r="O62" s="404" t="e">
        <f>'07'!#REF!</f>
        <v>#REF!</v>
      </c>
      <c r="P62" s="404" t="e">
        <f t="shared" si="9"/>
        <v>#REF!</v>
      </c>
    </row>
    <row r="63" spans="1:16" ht="24.75" customHeight="1" hidden="1">
      <c r="A63" s="394" t="s">
        <v>52</v>
      </c>
      <c r="B63" s="431" t="s">
        <v>138</v>
      </c>
      <c r="C63" s="404">
        <f>SUM(C64:C71)</f>
        <v>547471</v>
      </c>
      <c r="D63" s="404">
        <f aca="true" t="shared" si="11" ref="D63:L63">SUM(D64:D71)</f>
        <v>50677</v>
      </c>
      <c r="E63" s="404">
        <f t="shared" si="11"/>
        <v>11130</v>
      </c>
      <c r="F63" s="404">
        <f t="shared" si="11"/>
        <v>0</v>
      </c>
      <c r="G63" s="404">
        <f t="shared" si="11"/>
        <v>0</v>
      </c>
      <c r="H63" s="404">
        <f t="shared" si="11"/>
        <v>25503</v>
      </c>
      <c r="I63" s="404">
        <f t="shared" si="11"/>
        <v>0</v>
      </c>
      <c r="J63" s="404">
        <f t="shared" si="11"/>
        <v>14044</v>
      </c>
      <c r="K63" s="404">
        <f t="shared" si="11"/>
        <v>496794</v>
      </c>
      <c r="L63" s="404">
        <f t="shared" si="11"/>
        <v>0</v>
      </c>
      <c r="M63" s="404" t="e">
        <f>'03'!#REF!+'04'!#REF!</f>
        <v>#REF!</v>
      </c>
      <c r="N63" s="404" t="e">
        <f t="shared" si="8"/>
        <v>#REF!</v>
      </c>
      <c r="O63" s="404" t="e">
        <f>'07'!#REF!</f>
        <v>#REF!</v>
      </c>
      <c r="P63" s="404" t="e">
        <f t="shared" si="9"/>
        <v>#REF!</v>
      </c>
    </row>
    <row r="64" spans="1:16" ht="24.75" customHeight="1" hidden="1">
      <c r="A64" s="429" t="s">
        <v>54</v>
      </c>
      <c r="B64" s="430" t="s">
        <v>139</v>
      </c>
      <c r="C64" s="404">
        <f aca="true" t="shared" si="12" ref="C64:C72">D64+K64+L64</f>
        <v>41344</v>
      </c>
      <c r="D64" s="404">
        <f aca="true" t="shared" si="13" ref="D64:D72">E64+F64+G64+H64+I64+J64</f>
        <v>40344</v>
      </c>
      <c r="E64" s="409">
        <v>800</v>
      </c>
      <c r="F64" s="409">
        <v>0</v>
      </c>
      <c r="G64" s="409">
        <v>0</v>
      </c>
      <c r="H64" s="409">
        <v>25503</v>
      </c>
      <c r="I64" s="409">
        <v>0</v>
      </c>
      <c r="J64" s="409">
        <v>14041</v>
      </c>
      <c r="K64" s="409">
        <v>1000</v>
      </c>
      <c r="L64" s="409">
        <v>0</v>
      </c>
      <c r="M64" s="409" t="e">
        <f>'03'!#REF!+'04'!#REF!</f>
        <v>#REF!</v>
      </c>
      <c r="N64" s="409" t="e">
        <f t="shared" si="8"/>
        <v>#REF!</v>
      </c>
      <c r="O64" s="409" t="e">
        <f>'07'!#REF!</f>
        <v>#REF!</v>
      </c>
      <c r="P64" s="409" t="e">
        <f t="shared" si="9"/>
        <v>#REF!</v>
      </c>
    </row>
    <row r="65" spans="1:16" ht="24.75" customHeight="1" hidden="1">
      <c r="A65" s="429" t="s">
        <v>55</v>
      </c>
      <c r="B65" s="430" t="s">
        <v>140</v>
      </c>
      <c r="C65" s="404">
        <f t="shared" si="12"/>
        <v>0</v>
      </c>
      <c r="D65" s="404">
        <f t="shared" si="13"/>
        <v>0</v>
      </c>
      <c r="E65" s="409">
        <v>0</v>
      </c>
      <c r="F65" s="409">
        <v>0</v>
      </c>
      <c r="G65" s="409">
        <v>0</v>
      </c>
      <c r="H65" s="409">
        <v>0</v>
      </c>
      <c r="I65" s="409">
        <v>0</v>
      </c>
      <c r="J65" s="409">
        <v>0</v>
      </c>
      <c r="K65" s="409">
        <v>0</v>
      </c>
      <c r="L65" s="409">
        <v>0</v>
      </c>
      <c r="M65" s="409" t="e">
        <f>'03'!#REF!+'04'!#REF!</f>
        <v>#REF!</v>
      </c>
      <c r="N65" s="409" t="e">
        <f t="shared" si="8"/>
        <v>#REF!</v>
      </c>
      <c r="O65" s="409" t="e">
        <f>'07'!#REF!</f>
        <v>#REF!</v>
      </c>
      <c r="P65" s="409" t="e">
        <f t="shared" si="9"/>
        <v>#REF!</v>
      </c>
    </row>
    <row r="66" spans="1:16" ht="24.75" customHeight="1" hidden="1">
      <c r="A66" s="429" t="s">
        <v>141</v>
      </c>
      <c r="B66" s="430" t="s">
        <v>202</v>
      </c>
      <c r="C66" s="404">
        <f t="shared" si="12"/>
        <v>0</v>
      </c>
      <c r="D66" s="404">
        <f t="shared" si="13"/>
        <v>0</v>
      </c>
      <c r="E66" s="409">
        <v>0</v>
      </c>
      <c r="F66" s="409">
        <v>0</v>
      </c>
      <c r="G66" s="409">
        <v>0</v>
      </c>
      <c r="H66" s="409">
        <v>0</v>
      </c>
      <c r="I66" s="409">
        <v>0</v>
      </c>
      <c r="J66" s="409">
        <v>0</v>
      </c>
      <c r="K66" s="409">
        <v>0</v>
      </c>
      <c r="L66" s="409">
        <v>0</v>
      </c>
      <c r="M66" s="409" t="e">
        <f>'03'!#REF!</f>
        <v>#REF!</v>
      </c>
      <c r="N66" s="409" t="e">
        <f t="shared" si="8"/>
        <v>#REF!</v>
      </c>
      <c r="O66" s="409" t="e">
        <f>'07'!#REF!</f>
        <v>#REF!</v>
      </c>
      <c r="P66" s="409" t="e">
        <f t="shared" si="9"/>
        <v>#REF!</v>
      </c>
    </row>
    <row r="67" spans="1:16" ht="24.75" customHeight="1" hidden="1">
      <c r="A67" s="429" t="s">
        <v>143</v>
      </c>
      <c r="B67" s="430" t="s">
        <v>142</v>
      </c>
      <c r="C67" s="404">
        <f t="shared" si="12"/>
        <v>33438</v>
      </c>
      <c r="D67" s="404">
        <f t="shared" si="13"/>
        <v>10333</v>
      </c>
      <c r="E67" s="409">
        <v>10330</v>
      </c>
      <c r="F67" s="409">
        <v>0</v>
      </c>
      <c r="G67" s="409">
        <v>0</v>
      </c>
      <c r="H67" s="409">
        <v>0</v>
      </c>
      <c r="I67" s="409">
        <v>0</v>
      </c>
      <c r="J67" s="409">
        <v>3</v>
      </c>
      <c r="K67" s="409">
        <v>23105</v>
      </c>
      <c r="L67" s="409">
        <v>0</v>
      </c>
      <c r="M67" s="409" t="e">
        <f>'03'!#REF!+'04'!#REF!</f>
        <v>#REF!</v>
      </c>
      <c r="N67" s="409" t="e">
        <f t="shared" si="8"/>
        <v>#REF!</v>
      </c>
      <c r="O67" s="409" t="e">
        <f>'07'!#REF!</f>
        <v>#REF!</v>
      </c>
      <c r="P67" s="409" t="e">
        <f t="shared" si="9"/>
        <v>#REF!</v>
      </c>
    </row>
    <row r="68" spans="1:16" ht="24.75" customHeight="1" hidden="1">
      <c r="A68" s="429" t="s">
        <v>145</v>
      </c>
      <c r="B68" s="430" t="s">
        <v>144</v>
      </c>
      <c r="C68" s="404">
        <f t="shared" si="12"/>
        <v>0</v>
      </c>
      <c r="D68" s="404">
        <f t="shared" si="13"/>
        <v>0</v>
      </c>
      <c r="E68" s="409">
        <v>0</v>
      </c>
      <c r="F68" s="409">
        <v>0</v>
      </c>
      <c r="G68" s="409">
        <v>0</v>
      </c>
      <c r="H68" s="409">
        <v>0</v>
      </c>
      <c r="I68" s="409">
        <v>0</v>
      </c>
      <c r="J68" s="409">
        <v>0</v>
      </c>
      <c r="K68" s="409">
        <v>0</v>
      </c>
      <c r="L68" s="409">
        <v>0</v>
      </c>
      <c r="M68" s="409" t="e">
        <f>'03'!#REF!+'04'!#REF!</f>
        <v>#REF!</v>
      </c>
      <c r="N68" s="409" t="e">
        <f t="shared" si="8"/>
        <v>#REF!</v>
      </c>
      <c r="O68" s="409" t="e">
        <f>'07'!#REF!</f>
        <v>#REF!</v>
      </c>
      <c r="P68" s="409" t="e">
        <f t="shared" si="9"/>
        <v>#REF!</v>
      </c>
    </row>
    <row r="69" spans="1:16" ht="24.75" customHeight="1" hidden="1">
      <c r="A69" s="429" t="s">
        <v>147</v>
      </c>
      <c r="B69" s="430" t="s">
        <v>146</v>
      </c>
      <c r="C69" s="404">
        <f t="shared" si="12"/>
        <v>0</v>
      </c>
      <c r="D69" s="404">
        <f t="shared" si="13"/>
        <v>0</v>
      </c>
      <c r="E69" s="409">
        <v>0</v>
      </c>
      <c r="F69" s="409">
        <v>0</v>
      </c>
      <c r="G69" s="409">
        <v>0</v>
      </c>
      <c r="H69" s="409">
        <v>0</v>
      </c>
      <c r="I69" s="409">
        <v>0</v>
      </c>
      <c r="J69" s="409">
        <v>0</v>
      </c>
      <c r="K69" s="409">
        <v>0</v>
      </c>
      <c r="L69" s="409">
        <v>0</v>
      </c>
      <c r="M69" s="409" t="e">
        <f>'03'!#REF!+'04'!#REF!</f>
        <v>#REF!</v>
      </c>
      <c r="N69" s="409" t="e">
        <f t="shared" si="8"/>
        <v>#REF!</v>
      </c>
      <c r="O69" s="409" t="e">
        <f>'07'!#REF!</f>
        <v>#REF!</v>
      </c>
      <c r="P69" s="409" t="e">
        <f t="shared" si="9"/>
        <v>#REF!</v>
      </c>
    </row>
    <row r="70" spans="1:16" ht="24.75" customHeight="1" hidden="1">
      <c r="A70" s="429" t="s">
        <v>149</v>
      </c>
      <c r="B70" s="432" t="s">
        <v>148</v>
      </c>
      <c r="C70" s="404">
        <f t="shared" si="12"/>
        <v>0</v>
      </c>
      <c r="D70" s="404">
        <f t="shared" si="13"/>
        <v>0</v>
      </c>
      <c r="E70" s="409">
        <v>0</v>
      </c>
      <c r="F70" s="409">
        <v>0</v>
      </c>
      <c r="G70" s="409">
        <v>0</v>
      </c>
      <c r="H70" s="409">
        <v>0</v>
      </c>
      <c r="I70" s="409">
        <v>0</v>
      </c>
      <c r="J70" s="409">
        <v>0</v>
      </c>
      <c r="K70" s="409">
        <v>0</v>
      </c>
      <c r="L70" s="409">
        <v>0</v>
      </c>
      <c r="M70" s="409" t="e">
        <f>'03'!#REF!+'04'!#REF!</f>
        <v>#REF!</v>
      </c>
      <c r="N70" s="409" t="e">
        <f t="shared" si="8"/>
        <v>#REF!</v>
      </c>
      <c r="O70" s="409" t="e">
        <f>'07'!#REF!</f>
        <v>#REF!</v>
      </c>
      <c r="P70" s="409" t="e">
        <f t="shared" si="9"/>
        <v>#REF!</v>
      </c>
    </row>
    <row r="71" spans="1:16" ht="24.75" customHeight="1" hidden="1">
      <c r="A71" s="429" t="s">
        <v>186</v>
      </c>
      <c r="B71" s="430" t="s">
        <v>150</v>
      </c>
      <c r="C71" s="404">
        <f t="shared" si="12"/>
        <v>472689</v>
      </c>
      <c r="D71" s="404">
        <f t="shared" si="13"/>
        <v>0</v>
      </c>
      <c r="E71" s="409">
        <v>0</v>
      </c>
      <c r="F71" s="409">
        <v>0</v>
      </c>
      <c r="G71" s="409">
        <v>0</v>
      </c>
      <c r="H71" s="409">
        <v>0</v>
      </c>
      <c r="I71" s="409">
        <v>0</v>
      </c>
      <c r="J71" s="409">
        <v>0</v>
      </c>
      <c r="K71" s="409">
        <v>472689</v>
      </c>
      <c r="L71" s="409">
        <v>0</v>
      </c>
      <c r="M71" s="409" t="e">
        <f>'03'!#REF!+'04'!#REF!</f>
        <v>#REF!</v>
      </c>
      <c r="N71" s="409" t="e">
        <f t="shared" si="8"/>
        <v>#REF!</v>
      </c>
      <c r="O71" s="409" t="e">
        <f>'07'!#REF!</f>
        <v>#REF!</v>
      </c>
      <c r="P71" s="409" t="e">
        <f t="shared" si="9"/>
        <v>#REF!</v>
      </c>
    </row>
    <row r="72" spans="1:16" ht="24.75" customHeight="1" hidden="1">
      <c r="A72" s="394" t="s">
        <v>53</v>
      </c>
      <c r="B72" s="395" t="s">
        <v>151</v>
      </c>
      <c r="C72" s="404">
        <f t="shared" si="12"/>
        <v>648690</v>
      </c>
      <c r="D72" s="404">
        <f t="shared" si="13"/>
        <v>648690</v>
      </c>
      <c r="E72" s="409">
        <v>289379</v>
      </c>
      <c r="F72" s="409">
        <v>0</v>
      </c>
      <c r="G72" s="409">
        <v>359311</v>
      </c>
      <c r="H72" s="409">
        <v>0</v>
      </c>
      <c r="I72" s="409">
        <v>0</v>
      </c>
      <c r="J72" s="409">
        <v>0</v>
      </c>
      <c r="K72" s="409">
        <v>0</v>
      </c>
      <c r="L72" s="409">
        <v>0</v>
      </c>
      <c r="M72" s="404" t="e">
        <f>'03'!#REF!+'04'!#REF!</f>
        <v>#REF!</v>
      </c>
      <c r="N72" s="404" t="e">
        <f t="shared" si="8"/>
        <v>#REF!</v>
      </c>
      <c r="O72" s="404" t="e">
        <f>'07'!#REF!</f>
        <v>#REF!</v>
      </c>
      <c r="P72" s="404" t="e">
        <f t="shared" si="9"/>
        <v>#REF!</v>
      </c>
    </row>
    <row r="73" spans="1:16" ht="24.75" customHeight="1" hidden="1">
      <c r="A73" s="461" t="s">
        <v>76</v>
      </c>
      <c r="B73" s="489" t="s">
        <v>215</v>
      </c>
      <c r="C73" s="473">
        <f>(C64+C65+C66)/C63</f>
        <v>0.07551815529955011</v>
      </c>
      <c r="D73" s="396">
        <f aca="true" t="shared" si="14" ref="D73:L73">(D64+D65+D66)/D63</f>
        <v>0.7961007952325513</v>
      </c>
      <c r="E73" s="412">
        <f t="shared" si="14"/>
        <v>0.07187780772686433</v>
      </c>
      <c r="F73" s="412" t="e">
        <f t="shared" si="14"/>
        <v>#DIV/0!</v>
      </c>
      <c r="G73" s="412" t="e">
        <f t="shared" si="14"/>
        <v>#DIV/0!</v>
      </c>
      <c r="H73" s="412">
        <f t="shared" si="14"/>
        <v>1</v>
      </c>
      <c r="I73" s="412" t="e">
        <f t="shared" si="14"/>
        <v>#DIV/0!</v>
      </c>
      <c r="J73" s="412">
        <f t="shared" si="14"/>
        <v>0.9997863856451153</v>
      </c>
      <c r="K73" s="412">
        <f t="shared" si="14"/>
        <v>0.0020129067581331496</v>
      </c>
      <c r="L73" s="412" t="e">
        <f t="shared" si="14"/>
        <v>#DIV/0!</v>
      </c>
      <c r="M73" s="423"/>
      <c r="N73" s="490"/>
      <c r="O73" s="490"/>
      <c r="P73" s="490"/>
    </row>
    <row r="74" spans="1:16" ht="17.25" hidden="1">
      <c r="A74" s="1288" t="s">
        <v>500</v>
      </c>
      <c r="B74" s="1288"/>
      <c r="C74" s="409">
        <f>C57-C60-C61-C62</f>
        <v>0</v>
      </c>
      <c r="D74" s="409">
        <f aca="true" t="shared" si="15" ref="D74:L74">D57-D60-D61-D62</f>
        <v>0</v>
      </c>
      <c r="E74" s="409">
        <f t="shared" si="15"/>
        <v>0</v>
      </c>
      <c r="F74" s="409">
        <f t="shared" si="15"/>
        <v>0</v>
      </c>
      <c r="G74" s="409">
        <f t="shared" si="15"/>
        <v>0</v>
      </c>
      <c r="H74" s="409">
        <f t="shared" si="15"/>
        <v>0</v>
      </c>
      <c r="I74" s="409">
        <f t="shared" si="15"/>
        <v>0</v>
      </c>
      <c r="J74" s="409">
        <f t="shared" si="15"/>
        <v>0</v>
      </c>
      <c r="K74" s="409">
        <f t="shared" si="15"/>
        <v>0</v>
      </c>
      <c r="L74" s="409">
        <f t="shared" si="15"/>
        <v>0</v>
      </c>
      <c r="M74" s="423"/>
      <c r="N74" s="490"/>
      <c r="O74" s="490"/>
      <c r="P74" s="490"/>
    </row>
    <row r="75" spans="1:16" ht="17.25" hidden="1">
      <c r="A75" s="1283" t="s">
        <v>501</v>
      </c>
      <c r="B75" s="1283"/>
      <c r="C75" s="409">
        <f>C62-C63-C72</f>
        <v>0</v>
      </c>
      <c r="D75" s="409">
        <f aca="true" t="shared" si="16" ref="D75:L75">D62-D63-D72</f>
        <v>0</v>
      </c>
      <c r="E75" s="409">
        <f t="shared" si="16"/>
        <v>0</v>
      </c>
      <c r="F75" s="409">
        <f t="shared" si="16"/>
        <v>0</v>
      </c>
      <c r="G75" s="409">
        <f t="shared" si="16"/>
        <v>0</v>
      </c>
      <c r="H75" s="409">
        <f t="shared" si="16"/>
        <v>0</v>
      </c>
      <c r="I75" s="409">
        <f t="shared" si="16"/>
        <v>0</v>
      </c>
      <c r="J75" s="409">
        <f t="shared" si="16"/>
        <v>0</v>
      </c>
      <c r="K75" s="409">
        <f t="shared" si="16"/>
        <v>0</v>
      </c>
      <c r="L75" s="409">
        <f t="shared" si="16"/>
        <v>0</v>
      </c>
      <c r="M75" s="423"/>
      <c r="N75" s="490"/>
      <c r="O75" s="490"/>
      <c r="P75" s="490"/>
    </row>
    <row r="76" spans="1:16" ht="18.75" hidden="1">
      <c r="A76" s="475"/>
      <c r="B76" s="491" t="s">
        <v>520</v>
      </c>
      <c r="C76" s="491"/>
      <c r="D76" s="464"/>
      <c r="E76" s="464"/>
      <c r="F76" s="464"/>
      <c r="G76" s="1280" t="s">
        <v>520</v>
      </c>
      <c r="H76" s="1280"/>
      <c r="I76" s="1280"/>
      <c r="J76" s="1280"/>
      <c r="K76" s="1280"/>
      <c r="L76" s="1280"/>
      <c r="M76" s="478"/>
      <c r="N76" s="478"/>
      <c r="O76" s="478"/>
      <c r="P76" s="478"/>
    </row>
    <row r="77" spans="1:16" ht="18.75" hidden="1">
      <c r="A77" s="1281" t="s">
        <v>4</v>
      </c>
      <c r="B77" s="1281"/>
      <c r="C77" s="1281"/>
      <c r="D77" s="1281"/>
      <c r="E77" s="464"/>
      <c r="F77" s="464"/>
      <c r="G77" s="492"/>
      <c r="H77" s="1282" t="s">
        <v>521</v>
      </c>
      <c r="I77" s="1282"/>
      <c r="J77" s="1282"/>
      <c r="K77" s="1282"/>
      <c r="L77" s="1282"/>
      <c r="M77" s="478"/>
      <c r="N77" s="478"/>
      <c r="O77" s="478"/>
      <c r="P77" s="478"/>
    </row>
    <row r="78" ht="15" hidden="1"/>
    <row r="79" ht="15" hidden="1"/>
    <row r="80" ht="15" hidden="1"/>
    <row r="81" ht="15" hidden="1"/>
    <row r="82" ht="15" hidden="1"/>
    <row r="83" ht="15" hidden="1"/>
    <row r="84" ht="15" hidden="1"/>
    <row r="85" ht="15" hidden="1"/>
    <row r="86" ht="15" hidden="1"/>
    <row r="87" ht="15" hidden="1"/>
    <row r="88" spans="1:13" ht="16.5" hidden="1">
      <c r="A88" s="1301" t="s">
        <v>33</v>
      </c>
      <c r="B88" s="1302"/>
      <c r="C88" s="474"/>
      <c r="D88" s="1303" t="s">
        <v>79</v>
      </c>
      <c r="E88" s="1303"/>
      <c r="F88" s="1303"/>
      <c r="G88" s="1303"/>
      <c r="H88" s="1303"/>
      <c r="I88" s="1303"/>
      <c r="J88" s="1303"/>
      <c r="K88" s="1294"/>
      <c r="L88" s="1294"/>
      <c r="M88" s="478"/>
    </row>
    <row r="89" spans="1:13" ht="16.5" hidden="1">
      <c r="A89" s="1270" t="s">
        <v>344</v>
      </c>
      <c r="B89" s="1270"/>
      <c r="C89" s="1270"/>
      <c r="D89" s="1303" t="s">
        <v>216</v>
      </c>
      <c r="E89" s="1303"/>
      <c r="F89" s="1303"/>
      <c r="G89" s="1303"/>
      <c r="H89" s="1303"/>
      <c r="I89" s="1303"/>
      <c r="J89" s="1303"/>
      <c r="K89" s="1299" t="s">
        <v>508</v>
      </c>
      <c r="L89" s="1299"/>
      <c r="M89" s="475"/>
    </row>
    <row r="90" spans="1:13" ht="16.5" hidden="1">
      <c r="A90" s="1270" t="s">
        <v>345</v>
      </c>
      <c r="B90" s="1270"/>
      <c r="C90" s="413"/>
      <c r="D90" s="1293" t="s">
        <v>11</v>
      </c>
      <c r="E90" s="1293"/>
      <c r="F90" s="1293"/>
      <c r="G90" s="1293"/>
      <c r="H90" s="1293"/>
      <c r="I90" s="1293"/>
      <c r="J90" s="1293"/>
      <c r="K90" s="1294"/>
      <c r="L90" s="1294"/>
      <c r="M90" s="478"/>
    </row>
    <row r="91" spans="1:13" ht="15.75" hidden="1">
      <c r="A91" s="434" t="s">
        <v>119</v>
      </c>
      <c r="B91" s="434"/>
      <c r="C91" s="419"/>
      <c r="D91" s="479"/>
      <c r="E91" s="479"/>
      <c r="F91" s="480"/>
      <c r="G91" s="480"/>
      <c r="H91" s="480"/>
      <c r="I91" s="480"/>
      <c r="J91" s="480"/>
      <c r="K91" s="1289"/>
      <c r="L91" s="1289"/>
      <c r="M91" s="475"/>
    </row>
    <row r="92" spans="1:13" ht="15.75" hidden="1">
      <c r="A92" s="479"/>
      <c r="B92" s="479" t="s">
        <v>94</v>
      </c>
      <c r="C92" s="479"/>
      <c r="D92" s="479"/>
      <c r="E92" s="479"/>
      <c r="F92" s="479"/>
      <c r="G92" s="479"/>
      <c r="H92" s="479"/>
      <c r="I92" s="479"/>
      <c r="J92" s="479"/>
      <c r="K92" s="1300"/>
      <c r="L92" s="1300"/>
      <c r="M92" s="475"/>
    </row>
    <row r="93" spans="1:13" ht="15.75" hidden="1">
      <c r="A93" s="932" t="s">
        <v>71</v>
      </c>
      <c r="B93" s="933"/>
      <c r="C93" s="1284" t="s">
        <v>38</v>
      </c>
      <c r="D93" s="1309" t="s">
        <v>339</v>
      </c>
      <c r="E93" s="1309"/>
      <c r="F93" s="1309"/>
      <c r="G93" s="1309"/>
      <c r="H93" s="1309"/>
      <c r="I93" s="1309"/>
      <c r="J93" s="1309"/>
      <c r="K93" s="1309"/>
      <c r="L93" s="1309"/>
      <c r="M93" s="478"/>
    </row>
    <row r="94" spans="1:13" ht="15.75" hidden="1">
      <c r="A94" s="934"/>
      <c r="B94" s="935"/>
      <c r="C94" s="1284"/>
      <c r="D94" s="1310" t="s">
        <v>207</v>
      </c>
      <c r="E94" s="1311"/>
      <c r="F94" s="1311"/>
      <c r="G94" s="1311"/>
      <c r="H94" s="1311"/>
      <c r="I94" s="1311"/>
      <c r="J94" s="1312"/>
      <c r="K94" s="1290" t="s">
        <v>208</v>
      </c>
      <c r="L94" s="1290" t="s">
        <v>209</v>
      </c>
      <c r="M94" s="475"/>
    </row>
    <row r="95" spans="1:13" ht="15.75" hidden="1">
      <c r="A95" s="934"/>
      <c r="B95" s="935"/>
      <c r="C95" s="1284"/>
      <c r="D95" s="1285" t="s">
        <v>37</v>
      </c>
      <c r="E95" s="1306" t="s">
        <v>7</v>
      </c>
      <c r="F95" s="1307"/>
      <c r="G95" s="1307"/>
      <c r="H95" s="1307"/>
      <c r="I95" s="1307"/>
      <c r="J95" s="1308"/>
      <c r="K95" s="1297"/>
      <c r="L95" s="1291"/>
      <c r="M95" s="475"/>
    </row>
    <row r="96" spans="1:16" ht="15.75" hidden="1">
      <c r="A96" s="1295"/>
      <c r="B96" s="1296"/>
      <c r="C96" s="1284"/>
      <c r="D96" s="1285"/>
      <c r="E96" s="481" t="s">
        <v>210</v>
      </c>
      <c r="F96" s="481" t="s">
        <v>211</v>
      </c>
      <c r="G96" s="481" t="s">
        <v>212</v>
      </c>
      <c r="H96" s="481" t="s">
        <v>213</v>
      </c>
      <c r="I96" s="481" t="s">
        <v>346</v>
      </c>
      <c r="J96" s="481" t="s">
        <v>214</v>
      </c>
      <c r="K96" s="1298"/>
      <c r="L96" s="1292"/>
      <c r="M96" s="1305" t="s">
        <v>502</v>
      </c>
      <c r="N96" s="1305"/>
      <c r="O96" s="1305"/>
      <c r="P96" s="1305"/>
    </row>
    <row r="97" spans="1:16" ht="15" hidden="1">
      <c r="A97" s="1286" t="s">
        <v>6</v>
      </c>
      <c r="B97" s="1287"/>
      <c r="C97" s="482">
        <v>1</v>
      </c>
      <c r="D97" s="483">
        <v>2</v>
      </c>
      <c r="E97" s="482">
        <v>3</v>
      </c>
      <c r="F97" s="483">
        <v>4</v>
      </c>
      <c r="G97" s="482">
        <v>5</v>
      </c>
      <c r="H97" s="483">
        <v>6</v>
      </c>
      <c r="I97" s="482">
        <v>7</v>
      </c>
      <c r="J97" s="483">
        <v>8</v>
      </c>
      <c r="K97" s="482">
        <v>9</v>
      </c>
      <c r="L97" s="483">
        <v>10</v>
      </c>
      <c r="M97" s="484" t="s">
        <v>503</v>
      </c>
      <c r="N97" s="485" t="s">
        <v>506</v>
      </c>
      <c r="O97" s="485" t="s">
        <v>504</v>
      </c>
      <c r="P97" s="485" t="s">
        <v>505</v>
      </c>
    </row>
    <row r="98" spans="1:16" ht="24.75" customHeight="1" hidden="1">
      <c r="A98" s="426" t="s">
        <v>0</v>
      </c>
      <c r="B98" s="427" t="s">
        <v>131</v>
      </c>
      <c r="C98" s="404">
        <f>C99+C100</f>
        <v>77698000</v>
      </c>
      <c r="D98" s="404">
        <f aca="true" t="shared" si="17" ref="D98:L98">D99+D100</f>
        <v>1726087</v>
      </c>
      <c r="E98" s="404">
        <f t="shared" si="17"/>
        <v>992526</v>
      </c>
      <c r="F98" s="404">
        <f t="shared" si="17"/>
        <v>0</v>
      </c>
      <c r="G98" s="404">
        <f t="shared" si="17"/>
        <v>434217</v>
      </c>
      <c r="H98" s="404">
        <f t="shared" si="17"/>
        <v>110298</v>
      </c>
      <c r="I98" s="404">
        <f t="shared" si="17"/>
        <v>20700</v>
      </c>
      <c r="J98" s="404">
        <f t="shared" si="17"/>
        <v>168346</v>
      </c>
      <c r="K98" s="404">
        <f t="shared" si="17"/>
        <v>73826163</v>
      </c>
      <c r="L98" s="404">
        <f t="shared" si="17"/>
        <v>2145750</v>
      </c>
      <c r="M98" s="404" t="e">
        <f>'03'!#REF!+'04'!#REF!</f>
        <v>#REF!</v>
      </c>
      <c r="N98" s="404" t="e">
        <f>C98-M98</f>
        <v>#REF!</v>
      </c>
      <c r="O98" s="404" t="e">
        <f>'07'!#REF!</f>
        <v>#REF!</v>
      </c>
      <c r="P98" s="404" t="e">
        <f>C98-O98</f>
        <v>#REF!</v>
      </c>
    </row>
    <row r="99" spans="1:16" ht="24.75" customHeight="1" hidden="1">
      <c r="A99" s="429">
        <v>1</v>
      </c>
      <c r="B99" s="430"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18" ref="N99:N113">C99-M99</f>
        <v>#REF!</v>
      </c>
      <c r="O99" s="409" t="e">
        <f>'07'!#REF!</f>
        <v>#REF!</v>
      </c>
      <c r="P99" s="409" t="e">
        <f aca="true" t="shared" si="19" ref="P99:P113">C99-O99</f>
        <v>#REF!</v>
      </c>
    </row>
    <row r="100" spans="1:16" ht="24.75" customHeight="1" hidden="1">
      <c r="A100" s="429">
        <v>2</v>
      </c>
      <c r="B100" s="430"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18"/>
        <v>#REF!</v>
      </c>
      <c r="O100" s="409" t="e">
        <f>'07'!#REF!</f>
        <v>#REF!</v>
      </c>
      <c r="P100" s="409" t="e">
        <f t="shared" si="19"/>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18"/>
        <v>#REF!</v>
      </c>
      <c r="O101" s="409" t="e">
        <f>'07'!#REF!</f>
        <v>#REF!</v>
      </c>
      <c r="P101" s="409" t="e">
        <f t="shared" si="19"/>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18"/>
        <v>#REF!</v>
      </c>
      <c r="O102" s="409" t="e">
        <f>'07'!#REF!</f>
        <v>#REF!</v>
      </c>
      <c r="P102" s="409" t="e">
        <f t="shared" si="19"/>
        <v>#REF!</v>
      </c>
    </row>
    <row r="103" spans="1:16" ht="24.75" customHeight="1" hidden="1">
      <c r="A103" s="394" t="s">
        <v>136</v>
      </c>
      <c r="B103" s="395" t="s">
        <v>137</v>
      </c>
      <c r="C103" s="404">
        <f>C104+C113</f>
        <v>73603702</v>
      </c>
      <c r="D103" s="404">
        <f aca="true" t="shared" si="20" ref="D103:L103">D104+D113</f>
        <v>1696323</v>
      </c>
      <c r="E103" s="404">
        <f t="shared" si="20"/>
        <v>981762</v>
      </c>
      <c r="F103" s="404">
        <f t="shared" si="20"/>
        <v>0</v>
      </c>
      <c r="G103" s="404">
        <f t="shared" si="20"/>
        <v>415217</v>
      </c>
      <c r="H103" s="404">
        <f t="shared" si="20"/>
        <v>110298</v>
      </c>
      <c r="I103" s="404">
        <f t="shared" si="20"/>
        <v>20700</v>
      </c>
      <c r="J103" s="404">
        <f t="shared" si="20"/>
        <v>168346</v>
      </c>
      <c r="K103" s="404">
        <f t="shared" si="20"/>
        <v>70722379</v>
      </c>
      <c r="L103" s="404">
        <f t="shared" si="20"/>
        <v>1185000</v>
      </c>
      <c r="M103" s="404" t="e">
        <f>'03'!#REF!+'04'!#REF!</f>
        <v>#REF!</v>
      </c>
      <c r="N103" s="404" t="e">
        <f t="shared" si="18"/>
        <v>#REF!</v>
      </c>
      <c r="O103" s="404" t="e">
        <f>'07'!#REF!</f>
        <v>#REF!</v>
      </c>
      <c r="P103" s="404" t="e">
        <f t="shared" si="19"/>
        <v>#REF!</v>
      </c>
    </row>
    <row r="104" spans="1:16" ht="24.75" customHeight="1" hidden="1">
      <c r="A104" s="394" t="s">
        <v>52</v>
      </c>
      <c r="B104" s="431" t="s">
        <v>138</v>
      </c>
      <c r="C104" s="404">
        <f>SUM(C105:C112)</f>
        <v>72849668</v>
      </c>
      <c r="D104" s="404">
        <f aca="true" t="shared" si="21" ref="D104:L104">SUM(D105:D112)</f>
        <v>942289</v>
      </c>
      <c r="E104" s="404">
        <f t="shared" si="21"/>
        <v>526845</v>
      </c>
      <c r="F104" s="404">
        <f t="shared" si="21"/>
        <v>0</v>
      </c>
      <c r="G104" s="404">
        <f t="shared" si="21"/>
        <v>197800</v>
      </c>
      <c r="H104" s="404">
        <f t="shared" si="21"/>
        <v>49298</v>
      </c>
      <c r="I104" s="404">
        <f t="shared" si="21"/>
        <v>0</v>
      </c>
      <c r="J104" s="404">
        <f t="shared" si="21"/>
        <v>168346</v>
      </c>
      <c r="K104" s="404">
        <f t="shared" si="21"/>
        <v>70722379</v>
      </c>
      <c r="L104" s="404">
        <f t="shared" si="21"/>
        <v>1185000</v>
      </c>
      <c r="M104" s="404" t="e">
        <f>'03'!#REF!+'04'!#REF!</f>
        <v>#REF!</v>
      </c>
      <c r="N104" s="404" t="e">
        <f t="shared" si="18"/>
        <v>#REF!</v>
      </c>
      <c r="O104" s="404" t="e">
        <f>'07'!#REF!</f>
        <v>#REF!</v>
      </c>
      <c r="P104" s="404" t="e">
        <f t="shared" si="19"/>
        <v>#REF!</v>
      </c>
    </row>
    <row r="105" spans="1:16" ht="24.75" customHeight="1" hidden="1">
      <c r="A105" s="429" t="s">
        <v>54</v>
      </c>
      <c r="B105" s="430" t="s">
        <v>139</v>
      </c>
      <c r="C105" s="404">
        <f aca="true" t="shared" si="22" ref="C105:C113">D105+K105+L105</f>
        <v>4196249</v>
      </c>
      <c r="D105" s="404">
        <f aca="true" t="shared" si="23"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18"/>
        <v>#REF!</v>
      </c>
      <c r="O105" s="409" t="e">
        <f>'07'!#REF!</f>
        <v>#REF!</v>
      </c>
      <c r="P105" s="409" t="e">
        <f t="shared" si="19"/>
        <v>#REF!</v>
      </c>
    </row>
    <row r="106" spans="1:16" ht="24.75" customHeight="1" hidden="1">
      <c r="A106" s="429" t="s">
        <v>55</v>
      </c>
      <c r="B106" s="430" t="s">
        <v>140</v>
      </c>
      <c r="C106" s="404">
        <f t="shared" si="22"/>
        <v>0</v>
      </c>
      <c r="D106" s="404">
        <f t="shared" si="23"/>
        <v>0</v>
      </c>
      <c r="E106" s="409"/>
      <c r="F106" s="409"/>
      <c r="G106" s="409"/>
      <c r="H106" s="409"/>
      <c r="I106" s="409"/>
      <c r="J106" s="409"/>
      <c r="K106" s="409"/>
      <c r="L106" s="409"/>
      <c r="M106" s="409" t="e">
        <f>'03'!#REF!+'04'!#REF!</f>
        <v>#REF!</v>
      </c>
      <c r="N106" s="409" t="e">
        <f t="shared" si="18"/>
        <v>#REF!</v>
      </c>
      <c r="O106" s="409" t="e">
        <f>'07'!#REF!</f>
        <v>#REF!</v>
      </c>
      <c r="P106" s="409" t="e">
        <f t="shared" si="19"/>
        <v>#REF!</v>
      </c>
    </row>
    <row r="107" spans="1:16" ht="24.75" customHeight="1" hidden="1">
      <c r="A107" s="429" t="s">
        <v>141</v>
      </c>
      <c r="B107" s="430" t="s">
        <v>202</v>
      </c>
      <c r="C107" s="404">
        <f t="shared" si="22"/>
        <v>0</v>
      </c>
      <c r="D107" s="404">
        <f t="shared" si="23"/>
        <v>0</v>
      </c>
      <c r="E107" s="409"/>
      <c r="F107" s="409"/>
      <c r="G107" s="409"/>
      <c r="H107" s="409"/>
      <c r="I107" s="409"/>
      <c r="J107" s="409"/>
      <c r="K107" s="409"/>
      <c r="L107" s="409"/>
      <c r="M107" s="409" t="e">
        <f>'03'!#REF!</f>
        <v>#REF!</v>
      </c>
      <c r="N107" s="409" t="e">
        <f t="shared" si="18"/>
        <v>#REF!</v>
      </c>
      <c r="O107" s="409" t="e">
        <f>'07'!#REF!</f>
        <v>#REF!</v>
      </c>
      <c r="P107" s="409" t="e">
        <f t="shared" si="19"/>
        <v>#REF!</v>
      </c>
    </row>
    <row r="108" spans="1:16" ht="24.75" customHeight="1" hidden="1">
      <c r="A108" s="429" t="s">
        <v>143</v>
      </c>
      <c r="B108" s="430" t="s">
        <v>142</v>
      </c>
      <c r="C108" s="404">
        <f t="shared" si="22"/>
        <v>67438608</v>
      </c>
      <c r="D108" s="404">
        <f t="shared" si="23"/>
        <v>315289</v>
      </c>
      <c r="E108" s="409">
        <v>220089</v>
      </c>
      <c r="F108" s="409"/>
      <c r="G108" s="409">
        <v>90800</v>
      </c>
      <c r="H108" s="409">
        <v>4000</v>
      </c>
      <c r="I108" s="409"/>
      <c r="J108" s="409">
        <v>400</v>
      </c>
      <c r="K108" s="409">
        <v>67113319</v>
      </c>
      <c r="L108" s="409">
        <v>10000</v>
      </c>
      <c r="M108" s="409" t="e">
        <f>'03'!#REF!+'04'!#REF!</f>
        <v>#REF!</v>
      </c>
      <c r="N108" s="409" t="e">
        <f t="shared" si="18"/>
        <v>#REF!</v>
      </c>
      <c r="O108" s="409" t="e">
        <f>'07'!#REF!</f>
        <v>#REF!</v>
      </c>
      <c r="P108" s="409" t="e">
        <f t="shared" si="19"/>
        <v>#REF!</v>
      </c>
    </row>
    <row r="109" spans="1:16" ht="24.75" customHeight="1" hidden="1">
      <c r="A109" s="429" t="s">
        <v>145</v>
      </c>
      <c r="B109" s="430" t="s">
        <v>144</v>
      </c>
      <c r="C109" s="404">
        <f t="shared" si="22"/>
        <v>1214811</v>
      </c>
      <c r="D109" s="404">
        <f t="shared" si="23"/>
        <v>64811</v>
      </c>
      <c r="E109" s="409">
        <v>64811</v>
      </c>
      <c r="F109" s="409"/>
      <c r="G109" s="409"/>
      <c r="H109" s="409"/>
      <c r="I109" s="409"/>
      <c r="J109" s="409"/>
      <c r="K109" s="409"/>
      <c r="L109" s="409">
        <v>1150000</v>
      </c>
      <c r="M109" s="409" t="e">
        <f>'03'!#REF!+'04'!#REF!</f>
        <v>#REF!</v>
      </c>
      <c r="N109" s="409" t="e">
        <f t="shared" si="18"/>
        <v>#REF!</v>
      </c>
      <c r="O109" s="409" t="e">
        <f>'07'!#REF!</f>
        <v>#REF!</v>
      </c>
      <c r="P109" s="409" t="e">
        <f t="shared" si="19"/>
        <v>#REF!</v>
      </c>
    </row>
    <row r="110" spans="1:16" ht="24.75" customHeight="1" hidden="1">
      <c r="A110" s="429" t="s">
        <v>147</v>
      </c>
      <c r="B110" s="430" t="s">
        <v>146</v>
      </c>
      <c r="C110" s="404">
        <f t="shared" si="22"/>
        <v>0</v>
      </c>
      <c r="D110" s="404">
        <f t="shared" si="23"/>
        <v>0</v>
      </c>
      <c r="E110" s="409"/>
      <c r="F110" s="409"/>
      <c r="G110" s="409"/>
      <c r="H110" s="409"/>
      <c r="I110" s="409"/>
      <c r="J110" s="409"/>
      <c r="K110" s="409"/>
      <c r="L110" s="409"/>
      <c r="M110" s="409" t="e">
        <f>'03'!#REF!+'04'!#REF!</f>
        <v>#REF!</v>
      </c>
      <c r="N110" s="409" t="e">
        <f t="shared" si="18"/>
        <v>#REF!</v>
      </c>
      <c r="O110" s="409" t="e">
        <f>'07'!#REF!</f>
        <v>#REF!</v>
      </c>
      <c r="P110" s="409" t="e">
        <f t="shared" si="19"/>
        <v>#REF!</v>
      </c>
    </row>
    <row r="111" spans="1:16" ht="24.75" customHeight="1" hidden="1">
      <c r="A111" s="429" t="s">
        <v>149</v>
      </c>
      <c r="B111" s="432" t="s">
        <v>148</v>
      </c>
      <c r="C111" s="404">
        <f t="shared" si="22"/>
        <v>0</v>
      </c>
      <c r="D111" s="404">
        <f t="shared" si="23"/>
        <v>0</v>
      </c>
      <c r="E111" s="409"/>
      <c r="F111" s="409"/>
      <c r="G111" s="409"/>
      <c r="H111" s="409"/>
      <c r="I111" s="409"/>
      <c r="J111" s="409"/>
      <c r="K111" s="409"/>
      <c r="L111" s="409"/>
      <c r="M111" s="409" t="e">
        <f>'03'!#REF!+'04'!#REF!</f>
        <v>#REF!</v>
      </c>
      <c r="N111" s="409" t="e">
        <f t="shared" si="18"/>
        <v>#REF!</v>
      </c>
      <c r="O111" s="409" t="e">
        <f>'07'!#REF!</f>
        <v>#REF!</v>
      </c>
      <c r="P111" s="409" t="e">
        <f t="shared" si="19"/>
        <v>#REF!</v>
      </c>
    </row>
    <row r="112" spans="1:16" ht="24.75" customHeight="1" hidden="1">
      <c r="A112" s="429" t="s">
        <v>186</v>
      </c>
      <c r="B112" s="430" t="s">
        <v>150</v>
      </c>
      <c r="C112" s="404">
        <f t="shared" si="22"/>
        <v>0</v>
      </c>
      <c r="D112" s="404">
        <f t="shared" si="23"/>
        <v>0</v>
      </c>
      <c r="E112" s="409"/>
      <c r="F112" s="409"/>
      <c r="G112" s="409"/>
      <c r="H112" s="409"/>
      <c r="I112" s="409"/>
      <c r="J112" s="409"/>
      <c r="K112" s="409"/>
      <c r="L112" s="409"/>
      <c r="M112" s="409" t="e">
        <f>'03'!#REF!+'04'!#REF!</f>
        <v>#REF!</v>
      </c>
      <c r="N112" s="409" t="e">
        <f t="shared" si="18"/>
        <v>#REF!</v>
      </c>
      <c r="O112" s="409" t="e">
        <f>'07'!#REF!</f>
        <v>#REF!</v>
      </c>
      <c r="P112" s="409" t="e">
        <f t="shared" si="19"/>
        <v>#REF!</v>
      </c>
    </row>
    <row r="113" spans="1:16" ht="24.75" customHeight="1" hidden="1">
      <c r="A113" s="394" t="s">
        <v>53</v>
      </c>
      <c r="B113" s="395" t="s">
        <v>151</v>
      </c>
      <c r="C113" s="404">
        <f t="shared" si="22"/>
        <v>754034</v>
      </c>
      <c r="D113" s="404">
        <f t="shared" si="23"/>
        <v>754034</v>
      </c>
      <c r="E113" s="409">
        <v>454917</v>
      </c>
      <c r="F113" s="409"/>
      <c r="G113" s="409">
        <v>217417</v>
      </c>
      <c r="H113" s="409">
        <v>61000</v>
      </c>
      <c r="I113" s="409">
        <v>20700</v>
      </c>
      <c r="J113" s="409"/>
      <c r="K113" s="409"/>
      <c r="L113" s="409"/>
      <c r="M113" s="404" t="e">
        <f>'03'!#REF!+'04'!#REF!</f>
        <v>#REF!</v>
      </c>
      <c r="N113" s="404" t="e">
        <f t="shared" si="18"/>
        <v>#REF!</v>
      </c>
      <c r="O113" s="404" t="e">
        <f>'07'!#REF!</f>
        <v>#REF!</v>
      </c>
      <c r="P113" s="404" t="e">
        <f t="shared" si="19"/>
        <v>#REF!</v>
      </c>
    </row>
    <row r="114" spans="1:16" ht="25.5" hidden="1">
      <c r="A114" s="461" t="s">
        <v>76</v>
      </c>
      <c r="B114" s="489" t="s">
        <v>215</v>
      </c>
      <c r="C114" s="473">
        <f>(C105+C106+C107)/C104</f>
        <v>0.05760148419619428</v>
      </c>
      <c r="D114" s="396">
        <f aca="true" t="shared" si="24" ref="D114:L114">(D105+D106+D107)/D104</f>
        <v>0.5966205696978315</v>
      </c>
      <c r="E114" s="412">
        <f t="shared" si="24"/>
        <v>0.45923374047395343</v>
      </c>
      <c r="F114" s="412" t="e">
        <f t="shared" si="24"/>
        <v>#DIV/0!</v>
      </c>
      <c r="G114" s="412">
        <f t="shared" si="24"/>
        <v>0.5409504550050556</v>
      </c>
      <c r="H114" s="412">
        <f t="shared" si="24"/>
        <v>0.9188608057121993</v>
      </c>
      <c r="I114" s="412" t="e">
        <f t="shared" si="24"/>
        <v>#DIV/0!</v>
      </c>
      <c r="J114" s="412">
        <f t="shared" si="24"/>
        <v>0.9976239411687834</v>
      </c>
      <c r="K114" s="412">
        <f t="shared" si="24"/>
        <v>0.05103137155496423</v>
      </c>
      <c r="L114" s="412">
        <f t="shared" si="24"/>
        <v>0.02109704641350211</v>
      </c>
      <c r="M114" s="423"/>
      <c r="N114" s="490"/>
      <c r="O114" s="490"/>
      <c r="P114" s="490"/>
    </row>
    <row r="115" spans="1:16" ht="17.25" hidden="1">
      <c r="A115" s="1288" t="s">
        <v>500</v>
      </c>
      <c r="B115" s="1288"/>
      <c r="C115" s="409">
        <f>C98-C101-C102-C103</f>
        <v>0</v>
      </c>
      <c r="D115" s="409">
        <f aca="true" t="shared" si="25" ref="D115:L115">D98-D101-D102-D103</f>
        <v>0</v>
      </c>
      <c r="E115" s="409">
        <f t="shared" si="25"/>
        <v>0</v>
      </c>
      <c r="F115" s="409">
        <f t="shared" si="25"/>
        <v>0</v>
      </c>
      <c r="G115" s="409">
        <f t="shared" si="25"/>
        <v>0</v>
      </c>
      <c r="H115" s="409">
        <f t="shared" si="25"/>
        <v>0</v>
      </c>
      <c r="I115" s="409">
        <f t="shared" si="25"/>
        <v>0</v>
      </c>
      <c r="J115" s="409">
        <f t="shared" si="25"/>
        <v>0</v>
      </c>
      <c r="K115" s="409">
        <f t="shared" si="25"/>
        <v>0</v>
      </c>
      <c r="L115" s="409">
        <f t="shared" si="25"/>
        <v>0</v>
      </c>
      <c r="M115" s="423"/>
      <c r="N115" s="490"/>
      <c r="O115" s="490"/>
      <c r="P115" s="490"/>
    </row>
    <row r="116" spans="1:16" ht="17.25" hidden="1">
      <c r="A116" s="1283" t="s">
        <v>501</v>
      </c>
      <c r="B116" s="1283"/>
      <c r="C116" s="409">
        <f>C103-C104-C113</f>
        <v>0</v>
      </c>
      <c r="D116" s="409">
        <f aca="true" t="shared" si="26" ref="D116:L116">D103-D104-D113</f>
        <v>0</v>
      </c>
      <c r="E116" s="409">
        <f t="shared" si="26"/>
        <v>0</v>
      </c>
      <c r="F116" s="409">
        <f t="shared" si="26"/>
        <v>0</v>
      </c>
      <c r="G116" s="409">
        <f t="shared" si="26"/>
        <v>0</v>
      </c>
      <c r="H116" s="409">
        <f t="shared" si="26"/>
        <v>0</v>
      </c>
      <c r="I116" s="409">
        <f t="shared" si="26"/>
        <v>0</v>
      </c>
      <c r="J116" s="409">
        <f t="shared" si="26"/>
        <v>0</v>
      </c>
      <c r="K116" s="409">
        <f t="shared" si="26"/>
        <v>0</v>
      </c>
      <c r="L116" s="409">
        <f t="shared" si="26"/>
        <v>0</v>
      </c>
      <c r="M116" s="423"/>
      <c r="N116" s="490"/>
      <c r="O116" s="490"/>
      <c r="P116" s="490"/>
    </row>
    <row r="117" spans="1:16" ht="18.75" hidden="1">
      <c r="A117" s="475"/>
      <c r="B117" s="491" t="s">
        <v>520</v>
      </c>
      <c r="C117" s="491"/>
      <c r="D117" s="464"/>
      <c r="E117" s="464"/>
      <c r="F117" s="464"/>
      <c r="G117" s="1280" t="s">
        <v>520</v>
      </c>
      <c r="H117" s="1280"/>
      <c r="I117" s="1280"/>
      <c r="J117" s="1280"/>
      <c r="K117" s="1280"/>
      <c r="L117" s="1280"/>
      <c r="M117" s="478"/>
      <c r="N117" s="478"/>
      <c r="O117" s="478"/>
      <c r="P117" s="478"/>
    </row>
    <row r="118" spans="1:16" ht="18.75" hidden="1">
      <c r="A118" s="1281" t="s">
        <v>4</v>
      </c>
      <c r="B118" s="1281"/>
      <c r="C118" s="1281"/>
      <c r="D118" s="1281"/>
      <c r="E118" s="464"/>
      <c r="F118" s="464"/>
      <c r="G118" s="492"/>
      <c r="H118" s="1282" t="s">
        <v>521</v>
      </c>
      <c r="I118" s="1282"/>
      <c r="J118" s="1282"/>
      <c r="K118" s="1282"/>
      <c r="L118" s="1282"/>
      <c r="M118" s="478"/>
      <c r="N118" s="478"/>
      <c r="O118" s="478"/>
      <c r="P118" s="478"/>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301" t="s">
        <v>33</v>
      </c>
      <c r="B131" s="1302"/>
      <c r="C131" s="474"/>
      <c r="D131" s="1303" t="s">
        <v>79</v>
      </c>
      <c r="E131" s="1303"/>
      <c r="F131" s="1303"/>
      <c r="G131" s="1303"/>
      <c r="H131" s="1303"/>
      <c r="I131" s="1303"/>
      <c r="J131" s="1303"/>
      <c r="K131" s="1294"/>
      <c r="L131" s="1294"/>
      <c r="M131" s="478"/>
    </row>
    <row r="132" spans="1:13" ht="16.5" hidden="1">
      <c r="A132" s="1270" t="s">
        <v>344</v>
      </c>
      <c r="B132" s="1270"/>
      <c r="C132" s="1270"/>
      <c r="D132" s="1303" t="s">
        <v>216</v>
      </c>
      <c r="E132" s="1303"/>
      <c r="F132" s="1303"/>
      <c r="G132" s="1303"/>
      <c r="H132" s="1303"/>
      <c r="I132" s="1303"/>
      <c r="J132" s="1303"/>
      <c r="K132" s="1299" t="s">
        <v>509</v>
      </c>
      <c r="L132" s="1299"/>
      <c r="M132" s="475"/>
    </row>
    <row r="133" spans="1:13" ht="16.5" hidden="1">
      <c r="A133" s="1270" t="s">
        <v>345</v>
      </c>
      <c r="B133" s="1270"/>
      <c r="C133" s="413"/>
      <c r="D133" s="1293" t="s">
        <v>554</v>
      </c>
      <c r="E133" s="1293"/>
      <c r="F133" s="1293"/>
      <c r="G133" s="1293"/>
      <c r="H133" s="1293"/>
      <c r="I133" s="1293"/>
      <c r="J133" s="1293"/>
      <c r="K133" s="1294"/>
      <c r="L133" s="1294"/>
      <c r="M133" s="478"/>
    </row>
    <row r="134" spans="1:13" ht="15.75" hidden="1">
      <c r="A134" s="434" t="s">
        <v>119</v>
      </c>
      <c r="B134" s="434"/>
      <c r="C134" s="419"/>
      <c r="D134" s="479"/>
      <c r="E134" s="479"/>
      <c r="F134" s="480"/>
      <c r="G134" s="480"/>
      <c r="H134" s="480"/>
      <c r="I134" s="480"/>
      <c r="J134" s="480"/>
      <c r="K134" s="1289"/>
      <c r="L134" s="1289"/>
      <c r="M134" s="475"/>
    </row>
    <row r="135" spans="1:13" ht="15.75" hidden="1">
      <c r="A135" s="479"/>
      <c r="B135" s="479" t="s">
        <v>94</v>
      </c>
      <c r="C135" s="479"/>
      <c r="D135" s="479"/>
      <c r="E135" s="479"/>
      <c r="F135" s="479"/>
      <c r="G135" s="479"/>
      <c r="H135" s="479"/>
      <c r="I135" s="479"/>
      <c r="J135" s="479"/>
      <c r="K135" s="1300"/>
      <c r="L135" s="1300"/>
      <c r="M135" s="475"/>
    </row>
    <row r="136" spans="1:13" ht="15.75" hidden="1">
      <c r="A136" s="932" t="s">
        <v>71</v>
      </c>
      <c r="B136" s="933"/>
      <c r="C136" s="1284" t="s">
        <v>38</v>
      </c>
      <c r="D136" s="1309" t="s">
        <v>339</v>
      </c>
      <c r="E136" s="1309"/>
      <c r="F136" s="1309"/>
      <c r="G136" s="1309"/>
      <c r="H136" s="1309"/>
      <c r="I136" s="1309"/>
      <c r="J136" s="1309"/>
      <c r="K136" s="1309"/>
      <c r="L136" s="1309"/>
      <c r="M136" s="478"/>
    </row>
    <row r="137" spans="1:13" ht="15.75" hidden="1">
      <c r="A137" s="934"/>
      <c r="B137" s="935"/>
      <c r="C137" s="1284"/>
      <c r="D137" s="1310" t="s">
        <v>207</v>
      </c>
      <c r="E137" s="1311"/>
      <c r="F137" s="1311"/>
      <c r="G137" s="1311"/>
      <c r="H137" s="1311"/>
      <c r="I137" s="1311"/>
      <c r="J137" s="1312"/>
      <c r="K137" s="1290" t="s">
        <v>208</v>
      </c>
      <c r="L137" s="1290" t="s">
        <v>209</v>
      </c>
      <c r="M137" s="475"/>
    </row>
    <row r="138" spans="1:13" ht="15.75" hidden="1">
      <c r="A138" s="934"/>
      <c r="B138" s="935"/>
      <c r="C138" s="1284"/>
      <c r="D138" s="1285" t="s">
        <v>37</v>
      </c>
      <c r="E138" s="1306" t="s">
        <v>7</v>
      </c>
      <c r="F138" s="1307"/>
      <c r="G138" s="1307"/>
      <c r="H138" s="1307"/>
      <c r="I138" s="1307"/>
      <c r="J138" s="1308"/>
      <c r="K138" s="1297"/>
      <c r="L138" s="1291"/>
      <c r="M138" s="475"/>
    </row>
    <row r="139" spans="1:16" ht="15.75" hidden="1">
      <c r="A139" s="1295"/>
      <c r="B139" s="1296"/>
      <c r="C139" s="1284"/>
      <c r="D139" s="1285"/>
      <c r="E139" s="481" t="s">
        <v>210</v>
      </c>
      <c r="F139" s="481" t="s">
        <v>211</v>
      </c>
      <c r="G139" s="481" t="s">
        <v>212</v>
      </c>
      <c r="H139" s="481" t="s">
        <v>213</v>
      </c>
      <c r="I139" s="481" t="s">
        <v>346</v>
      </c>
      <c r="J139" s="481" t="s">
        <v>214</v>
      </c>
      <c r="K139" s="1298"/>
      <c r="L139" s="1292"/>
      <c r="M139" s="1305" t="s">
        <v>502</v>
      </c>
      <c r="N139" s="1305"/>
      <c r="O139" s="1305"/>
      <c r="P139" s="1305"/>
    </row>
    <row r="140" spans="1:16" ht="15" hidden="1">
      <c r="A140" s="1286" t="s">
        <v>6</v>
      </c>
      <c r="B140" s="1287"/>
      <c r="C140" s="482">
        <v>1</v>
      </c>
      <c r="D140" s="483">
        <v>2</v>
      </c>
      <c r="E140" s="482">
        <v>3</v>
      </c>
      <c r="F140" s="483">
        <v>4</v>
      </c>
      <c r="G140" s="482">
        <v>5</v>
      </c>
      <c r="H140" s="483">
        <v>6</v>
      </c>
      <c r="I140" s="482">
        <v>7</v>
      </c>
      <c r="J140" s="483">
        <v>8</v>
      </c>
      <c r="K140" s="482">
        <v>9</v>
      </c>
      <c r="L140" s="483">
        <v>10</v>
      </c>
      <c r="M140" s="484" t="s">
        <v>503</v>
      </c>
      <c r="N140" s="485" t="s">
        <v>506</v>
      </c>
      <c r="O140" s="485" t="s">
        <v>504</v>
      </c>
      <c r="P140" s="485" t="s">
        <v>505</v>
      </c>
    </row>
    <row r="141" spans="1:16" ht="24.75" customHeight="1" hidden="1">
      <c r="A141" s="426" t="s">
        <v>0</v>
      </c>
      <c r="B141" s="427" t="s">
        <v>131</v>
      </c>
      <c r="C141" s="404">
        <f>C142+C143</f>
        <v>3784244</v>
      </c>
      <c r="D141" s="404">
        <f aca="true" t="shared" si="27" ref="D141:L141">D142+D143</f>
        <v>154333</v>
      </c>
      <c r="E141" s="404">
        <f t="shared" si="27"/>
        <v>152430</v>
      </c>
      <c r="F141" s="404">
        <f t="shared" si="27"/>
        <v>0</v>
      </c>
      <c r="G141" s="404">
        <f t="shared" si="27"/>
        <v>0</v>
      </c>
      <c r="H141" s="404">
        <f t="shared" si="27"/>
        <v>0</v>
      </c>
      <c r="I141" s="404">
        <f t="shared" si="27"/>
        <v>1903</v>
      </c>
      <c r="J141" s="404">
        <f t="shared" si="27"/>
        <v>0</v>
      </c>
      <c r="K141" s="404">
        <f t="shared" si="27"/>
        <v>3419094</v>
      </c>
      <c r="L141" s="404">
        <f t="shared" si="27"/>
        <v>210817</v>
      </c>
      <c r="M141" s="404" t="e">
        <f>'03'!#REF!+'04'!#REF!</f>
        <v>#REF!</v>
      </c>
      <c r="N141" s="404" t="e">
        <f>C141-M141</f>
        <v>#REF!</v>
      </c>
      <c r="O141" s="404" t="e">
        <f>'07'!#REF!</f>
        <v>#REF!</v>
      </c>
      <c r="P141" s="404" t="e">
        <f>C141-O141</f>
        <v>#REF!</v>
      </c>
    </row>
    <row r="142" spans="1:16" ht="24.75" customHeight="1" hidden="1">
      <c r="A142" s="429">
        <v>1</v>
      </c>
      <c r="B142" s="430"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28" ref="N142:N156">C142-M142</f>
        <v>#REF!</v>
      </c>
      <c r="O142" s="409" t="e">
        <f>'07'!#REF!</f>
        <v>#REF!</v>
      </c>
      <c r="P142" s="409" t="e">
        <f aca="true" t="shared" si="29" ref="P142:P156">C142-O142</f>
        <v>#REF!</v>
      </c>
    </row>
    <row r="143" spans="1:16" ht="24.75" customHeight="1" hidden="1">
      <c r="A143" s="429">
        <v>2</v>
      </c>
      <c r="B143" s="430"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28"/>
        <v>#REF!</v>
      </c>
      <c r="O143" s="409" t="e">
        <f>'07'!#REF!</f>
        <v>#REF!</v>
      </c>
      <c r="P143" s="409" t="e">
        <f t="shared" si="29"/>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28"/>
        <v>#REF!</v>
      </c>
      <c r="O144" s="409" t="e">
        <f>'07'!#REF!</f>
        <v>#REF!</v>
      </c>
      <c r="P144" s="409" t="e">
        <f t="shared" si="29"/>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28"/>
        <v>#REF!</v>
      </c>
      <c r="O145" s="409" t="e">
        <f>'07'!#REF!</f>
        <v>#REF!</v>
      </c>
      <c r="P145" s="409" t="e">
        <f t="shared" si="29"/>
        <v>#REF!</v>
      </c>
    </row>
    <row r="146" spans="1:16" ht="24.75" customHeight="1" hidden="1">
      <c r="A146" s="394" t="s">
        <v>136</v>
      </c>
      <c r="B146" s="395" t="s">
        <v>137</v>
      </c>
      <c r="C146" s="404">
        <f>C147+C156</f>
        <v>3783844</v>
      </c>
      <c r="D146" s="404">
        <f aca="true" t="shared" si="30" ref="D146:L146">D147+D156</f>
        <v>153933</v>
      </c>
      <c r="E146" s="404">
        <f t="shared" si="30"/>
        <v>152030</v>
      </c>
      <c r="F146" s="404">
        <f t="shared" si="30"/>
        <v>0</v>
      </c>
      <c r="G146" s="404">
        <f t="shared" si="30"/>
        <v>0</v>
      </c>
      <c r="H146" s="404">
        <f t="shared" si="30"/>
        <v>0</v>
      </c>
      <c r="I146" s="404">
        <f t="shared" si="30"/>
        <v>1903</v>
      </c>
      <c r="J146" s="404">
        <f t="shared" si="30"/>
        <v>0</v>
      </c>
      <c r="K146" s="404">
        <f t="shared" si="30"/>
        <v>3419094</v>
      </c>
      <c r="L146" s="404">
        <f t="shared" si="30"/>
        <v>210817</v>
      </c>
      <c r="M146" s="404" t="e">
        <f>'03'!#REF!+'04'!#REF!</f>
        <v>#REF!</v>
      </c>
      <c r="N146" s="404" t="e">
        <f t="shared" si="28"/>
        <v>#REF!</v>
      </c>
      <c r="O146" s="404" t="e">
        <f>'07'!#REF!</f>
        <v>#REF!</v>
      </c>
      <c r="P146" s="404" t="e">
        <f t="shared" si="29"/>
        <v>#REF!</v>
      </c>
    </row>
    <row r="147" spans="1:16" ht="24.75" customHeight="1" hidden="1">
      <c r="A147" s="394" t="s">
        <v>52</v>
      </c>
      <c r="B147" s="431" t="s">
        <v>138</v>
      </c>
      <c r="C147" s="404">
        <f>SUM(C148:C155)</f>
        <v>3570996</v>
      </c>
      <c r="D147" s="404">
        <f aca="true" t="shared" si="31" ref="D147:L147">SUM(D148:D155)</f>
        <v>28994</v>
      </c>
      <c r="E147" s="404">
        <f t="shared" si="31"/>
        <v>28591</v>
      </c>
      <c r="F147" s="404">
        <f t="shared" si="31"/>
        <v>0</v>
      </c>
      <c r="G147" s="404">
        <f t="shared" si="31"/>
        <v>0</v>
      </c>
      <c r="H147" s="404">
        <f t="shared" si="31"/>
        <v>0</v>
      </c>
      <c r="I147" s="404">
        <f t="shared" si="31"/>
        <v>403</v>
      </c>
      <c r="J147" s="404">
        <f t="shared" si="31"/>
        <v>0</v>
      </c>
      <c r="K147" s="404">
        <f t="shared" si="31"/>
        <v>3331185</v>
      </c>
      <c r="L147" s="404">
        <f t="shared" si="31"/>
        <v>210817</v>
      </c>
      <c r="M147" s="404" t="e">
        <f>'03'!#REF!+'04'!#REF!</f>
        <v>#REF!</v>
      </c>
      <c r="N147" s="404" t="e">
        <f t="shared" si="28"/>
        <v>#REF!</v>
      </c>
      <c r="O147" s="404" t="e">
        <f>'07'!#REF!</f>
        <v>#REF!</v>
      </c>
      <c r="P147" s="404" t="e">
        <f t="shared" si="29"/>
        <v>#REF!</v>
      </c>
    </row>
    <row r="148" spans="1:16" ht="24.75" customHeight="1" hidden="1">
      <c r="A148" s="429" t="s">
        <v>54</v>
      </c>
      <c r="B148" s="430" t="s">
        <v>139</v>
      </c>
      <c r="C148" s="404">
        <f aca="true" t="shared" si="32" ref="C148:C156">D148+K148+L148</f>
        <v>151549</v>
      </c>
      <c r="D148" s="404">
        <f aca="true" t="shared" si="33" ref="D148:D156">E148+F148+G148+H148+I148+J148</f>
        <v>12849</v>
      </c>
      <c r="E148" s="409">
        <v>12446</v>
      </c>
      <c r="F148" s="409"/>
      <c r="G148" s="409"/>
      <c r="H148" s="409"/>
      <c r="I148" s="409">
        <v>403</v>
      </c>
      <c r="J148" s="409"/>
      <c r="K148" s="409">
        <v>35200</v>
      </c>
      <c r="L148" s="409">
        <v>103500</v>
      </c>
      <c r="M148" s="409" t="e">
        <f>'03'!#REF!+'04'!#REF!</f>
        <v>#REF!</v>
      </c>
      <c r="N148" s="409" t="e">
        <f t="shared" si="28"/>
        <v>#REF!</v>
      </c>
      <c r="O148" s="409" t="e">
        <f>'07'!#REF!</f>
        <v>#REF!</v>
      </c>
      <c r="P148" s="409" t="e">
        <f t="shared" si="29"/>
        <v>#REF!</v>
      </c>
    </row>
    <row r="149" spans="1:16" ht="24.75" customHeight="1" hidden="1">
      <c r="A149" s="429" t="s">
        <v>55</v>
      </c>
      <c r="B149" s="430" t="s">
        <v>140</v>
      </c>
      <c r="C149" s="404">
        <f t="shared" si="32"/>
        <v>0</v>
      </c>
      <c r="D149" s="404">
        <f t="shared" si="33"/>
        <v>0</v>
      </c>
      <c r="E149" s="409"/>
      <c r="F149" s="409"/>
      <c r="G149" s="409"/>
      <c r="H149" s="409"/>
      <c r="I149" s="409"/>
      <c r="J149" s="409"/>
      <c r="K149" s="409"/>
      <c r="L149" s="409"/>
      <c r="M149" s="409" t="e">
        <f>'03'!#REF!+'04'!#REF!</f>
        <v>#REF!</v>
      </c>
      <c r="N149" s="409" t="e">
        <f t="shared" si="28"/>
        <v>#REF!</v>
      </c>
      <c r="O149" s="409" t="e">
        <f>'07'!#REF!</f>
        <v>#REF!</v>
      </c>
      <c r="P149" s="409" t="e">
        <f t="shared" si="29"/>
        <v>#REF!</v>
      </c>
    </row>
    <row r="150" spans="1:16" ht="24.75" customHeight="1" hidden="1">
      <c r="A150" s="429" t="s">
        <v>141</v>
      </c>
      <c r="B150" s="430" t="s">
        <v>202</v>
      </c>
      <c r="C150" s="404">
        <f t="shared" si="32"/>
        <v>0</v>
      </c>
      <c r="D150" s="404">
        <f t="shared" si="33"/>
        <v>0</v>
      </c>
      <c r="E150" s="409"/>
      <c r="F150" s="409"/>
      <c r="G150" s="409"/>
      <c r="H150" s="409"/>
      <c r="I150" s="409"/>
      <c r="J150" s="409"/>
      <c r="K150" s="409"/>
      <c r="L150" s="409"/>
      <c r="M150" s="409" t="e">
        <f>'03'!#REF!</f>
        <v>#REF!</v>
      </c>
      <c r="N150" s="409" t="e">
        <f t="shared" si="28"/>
        <v>#REF!</v>
      </c>
      <c r="O150" s="409" t="e">
        <f>'07'!#REF!</f>
        <v>#REF!</v>
      </c>
      <c r="P150" s="409" t="e">
        <f t="shared" si="29"/>
        <v>#REF!</v>
      </c>
    </row>
    <row r="151" spans="1:16" ht="24.75" customHeight="1" hidden="1">
      <c r="A151" s="429" t="s">
        <v>143</v>
      </c>
      <c r="B151" s="430" t="s">
        <v>142</v>
      </c>
      <c r="C151" s="404">
        <f t="shared" si="32"/>
        <v>3068593</v>
      </c>
      <c r="D151" s="404">
        <f t="shared" si="33"/>
        <v>0</v>
      </c>
      <c r="E151" s="409"/>
      <c r="F151" s="409"/>
      <c r="G151" s="409"/>
      <c r="H151" s="409"/>
      <c r="I151" s="409"/>
      <c r="J151" s="409"/>
      <c r="K151" s="409">
        <v>3068593</v>
      </c>
      <c r="L151" s="409"/>
      <c r="M151" s="409" t="e">
        <f>'03'!#REF!+'04'!#REF!</f>
        <v>#REF!</v>
      </c>
      <c r="N151" s="409" t="e">
        <f t="shared" si="28"/>
        <v>#REF!</v>
      </c>
      <c r="O151" s="409" t="e">
        <f>'07'!#REF!</f>
        <v>#REF!</v>
      </c>
      <c r="P151" s="409" t="e">
        <f t="shared" si="29"/>
        <v>#REF!</v>
      </c>
    </row>
    <row r="152" spans="1:16" ht="24.75" customHeight="1" hidden="1">
      <c r="A152" s="429" t="s">
        <v>145</v>
      </c>
      <c r="B152" s="430" t="s">
        <v>144</v>
      </c>
      <c r="C152" s="404">
        <f t="shared" si="32"/>
        <v>198092</v>
      </c>
      <c r="D152" s="404">
        <f t="shared" si="33"/>
        <v>0</v>
      </c>
      <c r="E152" s="409"/>
      <c r="F152" s="409"/>
      <c r="G152" s="409"/>
      <c r="H152" s="409"/>
      <c r="I152" s="409"/>
      <c r="J152" s="409"/>
      <c r="K152" s="409">
        <v>198092</v>
      </c>
      <c r="L152" s="409"/>
      <c r="M152" s="409" t="e">
        <f>'03'!#REF!+'04'!#REF!</f>
        <v>#REF!</v>
      </c>
      <c r="N152" s="409" t="e">
        <f t="shared" si="28"/>
        <v>#REF!</v>
      </c>
      <c r="O152" s="409" t="e">
        <f>'07'!#REF!</f>
        <v>#REF!</v>
      </c>
      <c r="P152" s="409" t="e">
        <f t="shared" si="29"/>
        <v>#REF!</v>
      </c>
    </row>
    <row r="153" spans="1:16" ht="24.75" customHeight="1" hidden="1">
      <c r="A153" s="429" t="s">
        <v>147</v>
      </c>
      <c r="B153" s="430" t="s">
        <v>146</v>
      </c>
      <c r="C153" s="404">
        <f t="shared" si="32"/>
        <v>0</v>
      </c>
      <c r="D153" s="404">
        <f t="shared" si="33"/>
        <v>0</v>
      </c>
      <c r="E153" s="409"/>
      <c r="F153" s="409"/>
      <c r="G153" s="409"/>
      <c r="H153" s="409"/>
      <c r="I153" s="409"/>
      <c r="J153" s="409"/>
      <c r="K153" s="409"/>
      <c r="L153" s="409"/>
      <c r="M153" s="409" t="e">
        <f>'03'!#REF!+'04'!#REF!</f>
        <v>#REF!</v>
      </c>
      <c r="N153" s="409" t="e">
        <f t="shared" si="28"/>
        <v>#REF!</v>
      </c>
      <c r="O153" s="409" t="e">
        <f>'07'!#REF!</f>
        <v>#REF!</v>
      </c>
      <c r="P153" s="409" t="e">
        <f t="shared" si="29"/>
        <v>#REF!</v>
      </c>
    </row>
    <row r="154" spans="1:16" ht="24.75" customHeight="1" hidden="1">
      <c r="A154" s="429" t="s">
        <v>149</v>
      </c>
      <c r="B154" s="432" t="s">
        <v>148</v>
      </c>
      <c r="C154" s="404">
        <f t="shared" si="32"/>
        <v>0</v>
      </c>
      <c r="D154" s="404">
        <f t="shared" si="33"/>
        <v>0</v>
      </c>
      <c r="E154" s="409"/>
      <c r="F154" s="409"/>
      <c r="G154" s="409"/>
      <c r="H154" s="409"/>
      <c r="I154" s="409"/>
      <c r="J154" s="409"/>
      <c r="K154" s="409"/>
      <c r="L154" s="409"/>
      <c r="M154" s="409" t="e">
        <f>'03'!#REF!+'04'!#REF!</f>
        <v>#REF!</v>
      </c>
      <c r="N154" s="409" t="e">
        <f t="shared" si="28"/>
        <v>#REF!</v>
      </c>
      <c r="O154" s="409" t="e">
        <f>'07'!#REF!</f>
        <v>#REF!</v>
      </c>
      <c r="P154" s="409" t="e">
        <f t="shared" si="29"/>
        <v>#REF!</v>
      </c>
    </row>
    <row r="155" spans="1:16" ht="24.75" customHeight="1" hidden="1">
      <c r="A155" s="429" t="s">
        <v>186</v>
      </c>
      <c r="B155" s="430" t="s">
        <v>150</v>
      </c>
      <c r="C155" s="404">
        <f t="shared" si="32"/>
        <v>152762</v>
      </c>
      <c r="D155" s="404">
        <f t="shared" si="33"/>
        <v>16145</v>
      </c>
      <c r="E155" s="409">
        <v>16145</v>
      </c>
      <c r="F155" s="409"/>
      <c r="G155" s="409"/>
      <c r="H155" s="409"/>
      <c r="I155" s="409"/>
      <c r="J155" s="409"/>
      <c r="K155" s="409">
        <v>29300</v>
      </c>
      <c r="L155" s="409">
        <v>107317</v>
      </c>
      <c r="M155" s="409" t="e">
        <f>'03'!#REF!+'04'!#REF!</f>
        <v>#REF!</v>
      </c>
      <c r="N155" s="409" t="e">
        <f t="shared" si="28"/>
        <v>#REF!</v>
      </c>
      <c r="O155" s="409" t="e">
        <f>'07'!#REF!</f>
        <v>#REF!</v>
      </c>
      <c r="P155" s="409" t="e">
        <f t="shared" si="29"/>
        <v>#REF!</v>
      </c>
    </row>
    <row r="156" spans="1:16" ht="24.75" customHeight="1" hidden="1">
      <c r="A156" s="394" t="s">
        <v>53</v>
      </c>
      <c r="B156" s="395" t="s">
        <v>151</v>
      </c>
      <c r="C156" s="404">
        <f t="shared" si="32"/>
        <v>212848</v>
      </c>
      <c r="D156" s="404">
        <f t="shared" si="33"/>
        <v>124939</v>
      </c>
      <c r="E156" s="409">
        <v>123439</v>
      </c>
      <c r="F156" s="409"/>
      <c r="G156" s="409"/>
      <c r="H156" s="409"/>
      <c r="I156" s="409">
        <v>1500</v>
      </c>
      <c r="J156" s="409"/>
      <c r="K156" s="409">
        <v>87909</v>
      </c>
      <c r="L156" s="409"/>
      <c r="M156" s="404" t="e">
        <f>'03'!#REF!+'04'!#REF!</f>
        <v>#REF!</v>
      </c>
      <c r="N156" s="404" t="e">
        <f t="shared" si="28"/>
        <v>#REF!</v>
      </c>
      <c r="O156" s="404" t="e">
        <f>'07'!#REF!</f>
        <v>#REF!</v>
      </c>
      <c r="P156" s="404" t="e">
        <f t="shared" si="29"/>
        <v>#REF!</v>
      </c>
    </row>
    <row r="157" spans="1:16" ht="24.75" customHeight="1" hidden="1">
      <c r="A157" s="461" t="s">
        <v>76</v>
      </c>
      <c r="B157" s="489" t="s">
        <v>215</v>
      </c>
      <c r="C157" s="473">
        <f>(C148+C149+C150)/C147</f>
        <v>0.04243886019474679</v>
      </c>
      <c r="D157" s="396">
        <f aca="true" t="shared" si="34" ref="D157:L157">(D148+D149+D150)/D147</f>
        <v>0.443160653928399</v>
      </c>
      <c r="E157" s="412">
        <f t="shared" si="34"/>
        <v>0.43531181140918473</v>
      </c>
      <c r="F157" s="412" t="e">
        <f t="shared" si="34"/>
        <v>#DIV/0!</v>
      </c>
      <c r="G157" s="412" t="e">
        <f t="shared" si="34"/>
        <v>#DIV/0!</v>
      </c>
      <c r="H157" s="412" t="e">
        <f t="shared" si="34"/>
        <v>#DIV/0!</v>
      </c>
      <c r="I157" s="412">
        <f t="shared" si="34"/>
        <v>1</v>
      </c>
      <c r="J157" s="412" t="e">
        <f t="shared" si="34"/>
        <v>#DIV/0!</v>
      </c>
      <c r="K157" s="412">
        <f t="shared" si="34"/>
        <v>0.010566810309244308</v>
      </c>
      <c r="L157" s="412">
        <f t="shared" si="34"/>
        <v>0.4909471247574911</v>
      </c>
      <c r="M157" s="423"/>
      <c r="N157" s="490"/>
      <c r="O157" s="490"/>
      <c r="P157" s="490"/>
    </row>
    <row r="158" spans="1:16" ht="17.25" hidden="1">
      <c r="A158" s="1288" t="s">
        <v>500</v>
      </c>
      <c r="B158" s="1288"/>
      <c r="C158" s="409">
        <f>C141-C144-C145-C146</f>
        <v>0</v>
      </c>
      <c r="D158" s="409">
        <f aca="true" t="shared" si="35" ref="D158:L158">D141-D144-D145-D146</f>
        <v>0</v>
      </c>
      <c r="E158" s="409">
        <f t="shared" si="35"/>
        <v>0</v>
      </c>
      <c r="F158" s="409">
        <f t="shared" si="35"/>
        <v>0</v>
      </c>
      <c r="G158" s="409">
        <f t="shared" si="35"/>
        <v>0</v>
      </c>
      <c r="H158" s="409">
        <f t="shared" si="35"/>
        <v>0</v>
      </c>
      <c r="I158" s="409">
        <f t="shared" si="35"/>
        <v>0</v>
      </c>
      <c r="J158" s="409">
        <f t="shared" si="35"/>
        <v>0</v>
      </c>
      <c r="K158" s="409">
        <f t="shared" si="35"/>
        <v>0</v>
      </c>
      <c r="L158" s="409">
        <f t="shared" si="35"/>
        <v>0</v>
      </c>
      <c r="M158" s="423"/>
      <c r="N158" s="490"/>
      <c r="O158" s="490"/>
      <c r="P158" s="490"/>
    </row>
    <row r="159" spans="1:16" ht="17.25" hidden="1">
      <c r="A159" s="1283" t="s">
        <v>501</v>
      </c>
      <c r="B159" s="1283"/>
      <c r="C159" s="409">
        <f>C146-C147-C156</f>
        <v>0</v>
      </c>
      <c r="D159" s="409">
        <f aca="true" t="shared" si="36" ref="D159:L159">D146-D147-D156</f>
        <v>0</v>
      </c>
      <c r="E159" s="409">
        <f t="shared" si="36"/>
        <v>0</v>
      </c>
      <c r="F159" s="409">
        <f t="shared" si="36"/>
        <v>0</v>
      </c>
      <c r="G159" s="409">
        <f t="shared" si="36"/>
        <v>0</v>
      </c>
      <c r="H159" s="409">
        <f t="shared" si="36"/>
        <v>0</v>
      </c>
      <c r="I159" s="409">
        <f t="shared" si="36"/>
        <v>0</v>
      </c>
      <c r="J159" s="409">
        <f t="shared" si="36"/>
        <v>0</v>
      </c>
      <c r="K159" s="409">
        <f t="shared" si="36"/>
        <v>0</v>
      </c>
      <c r="L159" s="409">
        <f t="shared" si="36"/>
        <v>0</v>
      </c>
      <c r="M159" s="423"/>
      <c r="N159" s="490"/>
      <c r="O159" s="490"/>
      <c r="P159" s="490"/>
    </row>
    <row r="160" spans="1:16" ht="18.75" hidden="1">
      <c r="A160" s="475"/>
      <c r="B160" s="491" t="s">
        <v>520</v>
      </c>
      <c r="C160" s="491"/>
      <c r="D160" s="464"/>
      <c r="E160" s="464"/>
      <c r="F160" s="464"/>
      <c r="G160" s="1280" t="s">
        <v>520</v>
      </c>
      <c r="H160" s="1280"/>
      <c r="I160" s="1280"/>
      <c r="J160" s="1280"/>
      <c r="K160" s="1280"/>
      <c r="L160" s="1280"/>
      <c r="M160" s="478"/>
      <c r="N160" s="478"/>
      <c r="O160" s="478"/>
      <c r="P160" s="478"/>
    </row>
    <row r="161" spans="1:16" ht="18.75" hidden="1">
      <c r="A161" s="1281" t="s">
        <v>4</v>
      </c>
      <c r="B161" s="1281"/>
      <c r="C161" s="1281"/>
      <c r="D161" s="1281"/>
      <c r="E161" s="464"/>
      <c r="F161" s="464"/>
      <c r="G161" s="492"/>
      <c r="H161" s="1282" t="s">
        <v>521</v>
      </c>
      <c r="I161" s="1282"/>
      <c r="J161" s="1282"/>
      <c r="K161" s="1282"/>
      <c r="L161" s="1282"/>
      <c r="M161" s="478"/>
      <c r="N161" s="478"/>
      <c r="O161" s="478"/>
      <c r="P161" s="478"/>
    </row>
    <row r="162" ht="15" hidden="1"/>
    <row r="163" ht="15" hidden="1"/>
    <row r="164" ht="15" hidden="1"/>
    <row r="165" ht="15" hidden="1"/>
    <row r="166" ht="15" hidden="1"/>
    <row r="167" ht="15" hidden="1"/>
    <row r="168" ht="15" hidden="1"/>
    <row r="169" ht="15" hidden="1"/>
    <row r="170" ht="15" hidden="1"/>
    <row r="171" ht="15" hidden="1"/>
    <row r="172" spans="1:13" ht="16.5" hidden="1">
      <c r="A172" s="1301" t="s">
        <v>33</v>
      </c>
      <c r="B172" s="1302"/>
      <c r="C172" s="474"/>
      <c r="D172" s="1303" t="s">
        <v>79</v>
      </c>
      <c r="E172" s="1303"/>
      <c r="F172" s="1303"/>
      <c r="G172" s="1303"/>
      <c r="H172" s="1303"/>
      <c r="I172" s="1303"/>
      <c r="J172" s="1303"/>
      <c r="K172" s="1294"/>
      <c r="L172" s="1294"/>
      <c r="M172" s="478"/>
    </row>
    <row r="173" spans="1:13" ht="16.5" hidden="1">
      <c r="A173" s="1270" t="s">
        <v>344</v>
      </c>
      <c r="B173" s="1270"/>
      <c r="C173" s="1270"/>
      <c r="D173" s="1303" t="s">
        <v>216</v>
      </c>
      <c r="E173" s="1303"/>
      <c r="F173" s="1303"/>
      <c r="G173" s="1303"/>
      <c r="H173" s="1303"/>
      <c r="I173" s="1303"/>
      <c r="J173" s="1303"/>
      <c r="K173" s="1299" t="s">
        <v>510</v>
      </c>
      <c r="L173" s="1299"/>
      <c r="M173" s="475"/>
    </row>
    <row r="174" spans="1:13" ht="16.5" hidden="1">
      <c r="A174" s="1270" t="s">
        <v>345</v>
      </c>
      <c r="B174" s="1270"/>
      <c r="C174" s="413"/>
      <c r="D174" s="1293" t="s">
        <v>11</v>
      </c>
      <c r="E174" s="1293"/>
      <c r="F174" s="1293"/>
      <c r="G174" s="1293"/>
      <c r="H174" s="1293"/>
      <c r="I174" s="1293"/>
      <c r="J174" s="1293"/>
      <c r="K174" s="1294"/>
      <c r="L174" s="1294"/>
      <c r="M174" s="478"/>
    </row>
    <row r="175" spans="1:13" ht="15.75" hidden="1">
      <c r="A175" s="434" t="s">
        <v>119</v>
      </c>
      <c r="B175" s="434"/>
      <c r="C175" s="419"/>
      <c r="D175" s="409"/>
      <c r="E175" s="409">
        <v>885923</v>
      </c>
      <c r="F175" s="409"/>
      <c r="G175" s="409">
        <v>131438</v>
      </c>
      <c r="H175" s="409"/>
      <c r="I175" s="409">
        <v>900603</v>
      </c>
      <c r="J175" s="409"/>
      <c r="K175" s="409">
        <v>4102035.7</v>
      </c>
      <c r="L175" s="409"/>
      <c r="M175" s="475"/>
    </row>
    <row r="176" spans="1:13" ht="15.75" hidden="1">
      <c r="A176" s="479"/>
      <c r="B176" s="479" t="s">
        <v>94</v>
      </c>
      <c r="C176" s="479"/>
      <c r="D176" s="479"/>
      <c r="E176" s="479"/>
      <c r="F176" s="479"/>
      <c r="G176" s="479"/>
      <c r="H176" s="479"/>
      <c r="I176" s="479"/>
      <c r="J176" s="479"/>
      <c r="K176" s="1300"/>
      <c r="L176" s="1300"/>
      <c r="M176" s="475"/>
    </row>
    <row r="177" spans="1:13" ht="15.75" hidden="1">
      <c r="A177" s="932" t="s">
        <v>71</v>
      </c>
      <c r="B177" s="933"/>
      <c r="C177" s="1284" t="s">
        <v>38</v>
      </c>
      <c r="D177" s="1309" t="s">
        <v>339</v>
      </c>
      <c r="E177" s="1309"/>
      <c r="F177" s="1309"/>
      <c r="G177" s="1309"/>
      <c r="H177" s="1309"/>
      <c r="I177" s="1309"/>
      <c r="J177" s="1309"/>
      <c r="K177" s="1309"/>
      <c r="L177" s="1309"/>
      <c r="M177" s="478"/>
    </row>
    <row r="178" spans="1:13" ht="15.75" hidden="1">
      <c r="A178" s="934"/>
      <c r="B178" s="935"/>
      <c r="C178" s="1284"/>
      <c r="D178" s="1310" t="s">
        <v>207</v>
      </c>
      <c r="E178" s="1311"/>
      <c r="F178" s="1311"/>
      <c r="G178" s="1311"/>
      <c r="H178" s="1311"/>
      <c r="I178" s="1311"/>
      <c r="J178" s="1312"/>
      <c r="K178" s="1290" t="s">
        <v>208</v>
      </c>
      <c r="L178" s="1290" t="s">
        <v>209</v>
      </c>
      <c r="M178" s="475"/>
    </row>
    <row r="179" spans="1:13" ht="15.75" hidden="1">
      <c r="A179" s="934"/>
      <c r="B179" s="935"/>
      <c r="C179" s="1284"/>
      <c r="D179" s="1285" t="s">
        <v>37</v>
      </c>
      <c r="E179" s="1306" t="s">
        <v>7</v>
      </c>
      <c r="F179" s="1307"/>
      <c r="G179" s="1307"/>
      <c r="H179" s="1307"/>
      <c r="I179" s="1307"/>
      <c r="J179" s="1308"/>
      <c r="K179" s="1297"/>
      <c r="L179" s="1291"/>
      <c r="M179" s="475"/>
    </row>
    <row r="180" spans="1:16" ht="15.75" hidden="1">
      <c r="A180" s="1295"/>
      <c r="B180" s="1296"/>
      <c r="C180" s="1284"/>
      <c r="D180" s="1285"/>
      <c r="E180" s="481" t="s">
        <v>210</v>
      </c>
      <c r="F180" s="481" t="s">
        <v>211</v>
      </c>
      <c r="G180" s="481" t="s">
        <v>212</v>
      </c>
      <c r="H180" s="481" t="s">
        <v>213</v>
      </c>
      <c r="I180" s="481" t="s">
        <v>346</v>
      </c>
      <c r="J180" s="481" t="s">
        <v>214</v>
      </c>
      <c r="K180" s="1298"/>
      <c r="L180" s="1292"/>
      <c r="M180" s="1305" t="s">
        <v>502</v>
      </c>
      <c r="N180" s="1305"/>
      <c r="O180" s="1305"/>
      <c r="P180" s="1305"/>
    </row>
    <row r="181" spans="1:16" ht="15" hidden="1">
      <c r="A181" s="1286" t="s">
        <v>6</v>
      </c>
      <c r="B181" s="1287"/>
      <c r="C181" s="482">
        <v>1</v>
      </c>
      <c r="D181" s="483">
        <v>2</v>
      </c>
      <c r="E181" s="482">
        <v>3</v>
      </c>
      <c r="F181" s="483">
        <v>4</v>
      </c>
      <c r="G181" s="482">
        <v>5</v>
      </c>
      <c r="H181" s="483">
        <v>6</v>
      </c>
      <c r="I181" s="482">
        <v>7</v>
      </c>
      <c r="J181" s="483">
        <v>8</v>
      </c>
      <c r="K181" s="482">
        <v>9</v>
      </c>
      <c r="L181" s="483">
        <v>10</v>
      </c>
      <c r="M181" s="484" t="s">
        <v>503</v>
      </c>
      <c r="N181" s="485" t="s">
        <v>506</v>
      </c>
      <c r="O181" s="485" t="s">
        <v>504</v>
      </c>
      <c r="P181" s="485" t="s">
        <v>505</v>
      </c>
    </row>
    <row r="182" spans="1:16" ht="24.75" customHeight="1" hidden="1">
      <c r="A182" s="426" t="s">
        <v>0</v>
      </c>
      <c r="B182" s="427" t="s">
        <v>131</v>
      </c>
      <c r="C182" s="404">
        <f>C183+C184</f>
        <v>18825447</v>
      </c>
      <c r="D182" s="404">
        <f aca="true" t="shared" si="37" ref="D182:L182">D183+D184</f>
        <v>2403583</v>
      </c>
      <c r="E182" s="404">
        <f t="shared" si="37"/>
        <v>1170412</v>
      </c>
      <c r="F182" s="404">
        <f t="shared" si="37"/>
        <v>0</v>
      </c>
      <c r="G182" s="404">
        <f t="shared" si="37"/>
        <v>131438</v>
      </c>
      <c r="H182" s="404">
        <f t="shared" si="37"/>
        <v>651569</v>
      </c>
      <c r="I182" s="404">
        <f t="shared" si="37"/>
        <v>276284</v>
      </c>
      <c r="J182" s="404">
        <f t="shared" si="37"/>
        <v>173880</v>
      </c>
      <c r="K182" s="404">
        <f t="shared" si="37"/>
        <v>2849581</v>
      </c>
      <c r="L182" s="404">
        <f t="shared" si="37"/>
        <v>13572283</v>
      </c>
      <c r="M182" s="404" t="e">
        <f>'03'!#REF!+'04'!#REF!</f>
        <v>#REF!</v>
      </c>
      <c r="N182" s="404" t="e">
        <f>C182-M182</f>
        <v>#REF!</v>
      </c>
      <c r="O182" s="404" t="e">
        <f>'07'!#REF!</f>
        <v>#REF!</v>
      </c>
      <c r="P182" s="404" t="e">
        <f>C182-O182</f>
        <v>#REF!</v>
      </c>
    </row>
    <row r="183" spans="1:16" ht="24.75" customHeight="1" hidden="1">
      <c r="A183" s="429">
        <v>1</v>
      </c>
      <c r="B183" s="430"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38" ref="N183:N197">C183-M183</f>
        <v>#REF!</v>
      </c>
      <c r="O183" s="409" t="e">
        <f>'07'!#REF!</f>
        <v>#REF!</v>
      </c>
      <c r="P183" s="409" t="e">
        <f aca="true" t="shared" si="39" ref="P183:P197">C183-O183</f>
        <v>#REF!</v>
      </c>
    </row>
    <row r="184" spans="1:16" ht="24.75" customHeight="1" hidden="1">
      <c r="A184" s="429">
        <v>2</v>
      </c>
      <c r="B184" s="430"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38"/>
        <v>#REF!</v>
      </c>
      <c r="O184" s="409" t="e">
        <f>'07'!#REF!</f>
        <v>#REF!</v>
      </c>
      <c r="P184" s="409" t="e">
        <f t="shared" si="39"/>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38"/>
        <v>#REF!</v>
      </c>
      <c r="O185" s="409" t="e">
        <f>'07'!#REF!</f>
        <v>#REF!</v>
      </c>
      <c r="P185" s="409" t="e">
        <f t="shared" si="39"/>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38"/>
        <v>#REF!</v>
      </c>
      <c r="O186" s="409" t="e">
        <f>'07'!#REF!</f>
        <v>#REF!</v>
      </c>
      <c r="P186" s="409" t="e">
        <f t="shared" si="39"/>
        <v>#REF!</v>
      </c>
    </row>
    <row r="187" spans="1:16" ht="24.75" customHeight="1" hidden="1">
      <c r="A187" s="394" t="s">
        <v>136</v>
      </c>
      <c r="B187" s="395" t="s">
        <v>137</v>
      </c>
      <c r="C187" s="404">
        <f>C188+C197</f>
        <v>18713467</v>
      </c>
      <c r="D187" s="404">
        <f aca="true" t="shared" si="40" ref="D187:L187">D188+D197</f>
        <v>2393003</v>
      </c>
      <c r="E187" s="404">
        <f t="shared" si="40"/>
        <v>1159832</v>
      </c>
      <c r="F187" s="404">
        <f t="shared" si="40"/>
        <v>0</v>
      </c>
      <c r="G187" s="404">
        <f t="shared" si="40"/>
        <v>131438</v>
      </c>
      <c r="H187" s="404">
        <f t="shared" si="40"/>
        <v>651569</v>
      </c>
      <c r="I187" s="404">
        <f t="shared" si="40"/>
        <v>276284</v>
      </c>
      <c r="J187" s="404">
        <f t="shared" si="40"/>
        <v>173880</v>
      </c>
      <c r="K187" s="404">
        <f t="shared" si="40"/>
        <v>2849581</v>
      </c>
      <c r="L187" s="404">
        <f t="shared" si="40"/>
        <v>13470883</v>
      </c>
      <c r="M187" s="404" t="e">
        <f>'03'!#REF!+'04'!#REF!</f>
        <v>#REF!</v>
      </c>
      <c r="N187" s="404" t="e">
        <f t="shared" si="38"/>
        <v>#REF!</v>
      </c>
      <c r="O187" s="404" t="e">
        <f>'07'!#REF!</f>
        <v>#REF!</v>
      </c>
      <c r="P187" s="404" t="e">
        <f t="shared" si="39"/>
        <v>#REF!</v>
      </c>
    </row>
    <row r="188" spans="1:16" ht="24.75" customHeight="1" hidden="1">
      <c r="A188" s="394" t="s">
        <v>52</v>
      </c>
      <c r="B188" s="431" t="s">
        <v>138</v>
      </c>
      <c r="C188" s="404">
        <f>SUM(C189:C196)</f>
        <v>16624101</v>
      </c>
      <c r="D188" s="404">
        <f aca="true" t="shared" si="41" ref="D188:L188">SUM(D189:D196)</f>
        <v>670472</v>
      </c>
      <c r="E188" s="404">
        <f t="shared" si="41"/>
        <v>468342</v>
      </c>
      <c r="F188" s="404">
        <f t="shared" si="41"/>
        <v>0</v>
      </c>
      <c r="G188" s="404">
        <f t="shared" si="41"/>
        <v>1000</v>
      </c>
      <c r="H188" s="404">
        <f t="shared" si="41"/>
        <v>2250</v>
      </c>
      <c r="I188" s="404">
        <f t="shared" si="41"/>
        <v>25000</v>
      </c>
      <c r="J188" s="404">
        <f t="shared" si="41"/>
        <v>173880</v>
      </c>
      <c r="K188" s="404">
        <f t="shared" si="41"/>
        <v>2849581</v>
      </c>
      <c r="L188" s="404">
        <f t="shared" si="41"/>
        <v>13104048</v>
      </c>
      <c r="M188" s="404" t="e">
        <f>'03'!#REF!+'04'!#REF!</f>
        <v>#REF!</v>
      </c>
      <c r="N188" s="404" t="e">
        <f t="shared" si="38"/>
        <v>#REF!</v>
      </c>
      <c r="O188" s="404" t="e">
        <f>'07'!#REF!</f>
        <v>#REF!</v>
      </c>
      <c r="P188" s="404" t="e">
        <f t="shared" si="39"/>
        <v>#REF!</v>
      </c>
    </row>
    <row r="189" spans="1:16" ht="24.75" customHeight="1" hidden="1">
      <c r="A189" s="429" t="s">
        <v>54</v>
      </c>
      <c r="B189" s="430" t="s">
        <v>139</v>
      </c>
      <c r="C189" s="404">
        <f aca="true" t="shared" si="42" ref="C189:C197">D189+K189+L189</f>
        <v>2436657</v>
      </c>
      <c r="D189" s="404">
        <f aca="true" t="shared" si="43"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38"/>
        <v>#REF!</v>
      </c>
      <c r="O189" s="409" t="e">
        <f>'07'!#REF!</f>
        <v>#REF!</v>
      </c>
      <c r="P189" s="409" t="e">
        <f t="shared" si="39"/>
        <v>#REF!</v>
      </c>
    </row>
    <row r="190" spans="1:16" ht="24.75" customHeight="1" hidden="1">
      <c r="A190" s="429" t="s">
        <v>55</v>
      </c>
      <c r="B190" s="430" t="s">
        <v>140</v>
      </c>
      <c r="C190" s="404">
        <f t="shared" si="42"/>
        <v>418123</v>
      </c>
      <c r="D190" s="404">
        <f t="shared" si="43"/>
        <v>200</v>
      </c>
      <c r="E190" s="409">
        <v>200</v>
      </c>
      <c r="F190" s="409">
        <v>0</v>
      </c>
      <c r="G190" s="409">
        <v>0</v>
      </c>
      <c r="H190" s="409">
        <v>0</v>
      </c>
      <c r="I190" s="409">
        <v>0</v>
      </c>
      <c r="J190" s="409">
        <v>0</v>
      </c>
      <c r="K190" s="409">
        <v>0</v>
      </c>
      <c r="L190" s="409">
        <v>417923</v>
      </c>
      <c r="M190" s="409" t="e">
        <f>'03'!#REF!+'04'!#REF!</f>
        <v>#REF!</v>
      </c>
      <c r="N190" s="409" t="e">
        <f t="shared" si="38"/>
        <v>#REF!</v>
      </c>
      <c r="O190" s="409" t="e">
        <f>'07'!#REF!</f>
        <v>#REF!</v>
      </c>
      <c r="P190" s="409" t="e">
        <f t="shared" si="39"/>
        <v>#REF!</v>
      </c>
    </row>
    <row r="191" spans="1:16" ht="24.75" customHeight="1" hidden="1">
      <c r="A191" s="429" t="s">
        <v>141</v>
      </c>
      <c r="B191" s="430" t="s">
        <v>202</v>
      </c>
      <c r="C191" s="404">
        <f t="shared" si="42"/>
        <v>0</v>
      </c>
      <c r="D191" s="404">
        <f t="shared" si="43"/>
        <v>0</v>
      </c>
      <c r="E191" s="409">
        <v>0</v>
      </c>
      <c r="F191" s="409">
        <v>0</v>
      </c>
      <c r="G191" s="409">
        <v>0</v>
      </c>
      <c r="H191" s="409">
        <v>0</v>
      </c>
      <c r="I191" s="409">
        <v>0</v>
      </c>
      <c r="J191" s="409">
        <v>0</v>
      </c>
      <c r="K191" s="409">
        <v>0</v>
      </c>
      <c r="L191" s="409">
        <v>0</v>
      </c>
      <c r="M191" s="409" t="e">
        <f>'03'!#REF!</f>
        <v>#REF!</v>
      </c>
      <c r="N191" s="409" t="e">
        <f t="shared" si="38"/>
        <v>#REF!</v>
      </c>
      <c r="O191" s="409" t="e">
        <f>'07'!#REF!</f>
        <v>#REF!</v>
      </c>
      <c r="P191" s="409" t="e">
        <f t="shared" si="39"/>
        <v>#REF!</v>
      </c>
    </row>
    <row r="192" spans="1:16" ht="24.75" customHeight="1" hidden="1">
      <c r="A192" s="429" t="s">
        <v>143</v>
      </c>
      <c r="B192" s="430" t="s">
        <v>142</v>
      </c>
      <c r="C192" s="404">
        <f t="shared" si="42"/>
        <v>13654985</v>
      </c>
      <c r="D192" s="404">
        <f t="shared" si="43"/>
        <v>398068</v>
      </c>
      <c r="E192" s="409">
        <v>343442</v>
      </c>
      <c r="F192" s="409">
        <v>0</v>
      </c>
      <c r="G192" s="409">
        <v>0</v>
      </c>
      <c r="H192" s="409">
        <v>0</v>
      </c>
      <c r="I192" s="409">
        <v>20000</v>
      </c>
      <c r="J192" s="409">
        <v>34626</v>
      </c>
      <c r="K192" s="409">
        <v>2814873</v>
      </c>
      <c r="L192" s="409">
        <v>10442044</v>
      </c>
      <c r="M192" s="409" t="e">
        <f>'03'!#REF!+'04'!#REF!</f>
        <v>#REF!</v>
      </c>
      <c r="N192" s="409" t="e">
        <f t="shared" si="38"/>
        <v>#REF!</v>
      </c>
      <c r="O192" s="409" t="e">
        <f>'07'!#REF!</f>
        <v>#REF!</v>
      </c>
      <c r="P192" s="409" t="e">
        <f t="shared" si="39"/>
        <v>#REF!</v>
      </c>
    </row>
    <row r="193" spans="1:16" ht="24.75" customHeight="1" hidden="1">
      <c r="A193" s="429" t="s">
        <v>145</v>
      </c>
      <c r="B193" s="430" t="s">
        <v>144</v>
      </c>
      <c r="C193" s="404">
        <f t="shared" si="42"/>
        <v>0</v>
      </c>
      <c r="D193" s="404">
        <f t="shared" si="43"/>
        <v>0</v>
      </c>
      <c r="E193" s="409">
        <v>0</v>
      </c>
      <c r="F193" s="409">
        <v>0</v>
      </c>
      <c r="G193" s="409">
        <v>0</v>
      </c>
      <c r="H193" s="409">
        <v>0</v>
      </c>
      <c r="I193" s="409">
        <v>0</v>
      </c>
      <c r="J193" s="409">
        <v>0</v>
      </c>
      <c r="K193" s="409">
        <v>0</v>
      </c>
      <c r="L193" s="409">
        <v>0</v>
      </c>
      <c r="M193" s="409" t="e">
        <f>'03'!#REF!+'04'!#REF!</f>
        <v>#REF!</v>
      </c>
      <c r="N193" s="409" t="e">
        <f t="shared" si="38"/>
        <v>#REF!</v>
      </c>
      <c r="O193" s="409" t="e">
        <f>'07'!#REF!</f>
        <v>#REF!</v>
      </c>
      <c r="P193" s="409" t="e">
        <f t="shared" si="39"/>
        <v>#REF!</v>
      </c>
    </row>
    <row r="194" spans="1:16" ht="24.75" customHeight="1" hidden="1">
      <c r="A194" s="429" t="s">
        <v>147</v>
      </c>
      <c r="B194" s="430" t="s">
        <v>146</v>
      </c>
      <c r="C194" s="404">
        <f t="shared" si="42"/>
        <v>0</v>
      </c>
      <c r="D194" s="404">
        <f t="shared" si="43"/>
        <v>0</v>
      </c>
      <c r="E194" s="409">
        <v>0</v>
      </c>
      <c r="F194" s="409">
        <v>0</v>
      </c>
      <c r="G194" s="409">
        <v>0</v>
      </c>
      <c r="H194" s="409">
        <v>0</v>
      </c>
      <c r="I194" s="409">
        <v>0</v>
      </c>
      <c r="J194" s="409">
        <v>0</v>
      </c>
      <c r="K194" s="409">
        <v>0</v>
      </c>
      <c r="L194" s="409">
        <v>0</v>
      </c>
      <c r="M194" s="409" t="e">
        <f>'03'!#REF!+'04'!#REF!</f>
        <v>#REF!</v>
      </c>
      <c r="N194" s="409" t="e">
        <f t="shared" si="38"/>
        <v>#REF!</v>
      </c>
      <c r="O194" s="409" t="e">
        <f>'07'!#REF!</f>
        <v>#REF!</v>
      </c>
      <c r="P194" s="409" t="e">
        <f t="shared" si="39"/>
        <v>#REF!</v>
      </c>
    </row>
    <row r="195" spans="1:16" ht="24.75" customHeight="1" hidden="1">
      <c r="A195" s="429" t="s">
        <v>149</v>
      </c>
      <c r="B195" s="432" t="s">
        <v>148</v>
      </c>
      <c r="C195" s="404">
        <f t="shared" si="42"/>
        <v>0</v>
      </c>
      <c r="D195" s="404">
        <f t="shared" si="43"/>
        <v>0</v>
      </c>
      <c r="E195" s="409">
        <v>0</v>
      </c>
      <c r="F195" s="409">
        <v>0</v>
      </c>
      <c r="G195" s="409">
        <v>0</v>
      </c>
      <c r="H195" s="409">
        <v>0</v>
      </c>
      <c r="I195" s="409">
        <v>0</v>
      </c>
      <c r="J195" s="409">
        <v>0</v>
      </c>
      <c r="K195" s="409">
        <v>0</v>
      </c>
      <c r="L195" s="409">
        <v>0</v>
      </c>
      <c r="M195" s="409" t="e">
        <f>'03'!#REF!+'04'!#REF!</f>
        <v>#REF!</v>
      </c>
      <c r="N195" s="409" t="e">
        <f t="shared" si="38"/>
        <v>#REF!</v>
      </c>
      <c r="O195" s="409" t="e">
        <f>'07'!#REF!</f>
        <v>#REF!</v>
      </c>
      <c r="P195" s="409" t="e">
        <f t="shared" si="39"/>
        <v>#REF!</v>
      </c>
    </row>
    <row r="196" spans="1:16" ht="24.75" customHeight="1" hidden="1">
      <c r="A196" s="429" t="s">
        <v>186</v>
      </c>
      <c r="B196" s="430" t="s">
        <v>150</v>
      </c>
      <c r="C196" s="404">
        <f t="shared" si="42"/>
        <v>114336</v>
      </c>
      <c r="D196" s="404">
        <f t="shared" si="43"/>
        <v>0</v>
      </c>
      <c r="E196" s="409">
        <v>0</v>
      </c>
      <c r="F196" s="409">
        <v>0</v>
      </c>
      <c r="G196" s="409">
        <v>0</v>
      </c>
      <c r="H196" s="409">
        <v>0</v>
      </c>
      <c r="I196" s="409">
        <v>0</v>
      </c>
      <c r="J196" s="409">
        <v>0</v>
      </c>
      <c r="K196" s="409">
        <v>0</v>
      </c>
      <c r="L196" s="409">
        <v>114336</v>
      </c>
      <c r="M196" s="409" t="e">
        <f>'03'!#REF!+'04'!#REF!</f>
        <v>#REF!</v>
      </c>
      <c r="N196" s="409" t="e">
        <f t="shared" si="38"/>
        <v>#REF!</v>
      </c>
      <c r="O196" s="409" t="e">
        <f>'07'!#REF!</f>
        <v>#REF!</v>
      </c>
      <c r="P196" s="409" t="e">
        <f t="shared" si="39"/>
        <v>#REF!</v>
      </c>
    </row>
    <row r="197" spans="1:16" ht="24.75" customHeight="1" hidden="1">
      <c r="A197" s="394" t="s">
        <v>53</v>
      </c>
      <c r="B197" s="395" t="s">
        <v>151</v>
      </c>
      <c r="C197" s="404">
        <f t="shared" si="42"/>
        <v>2089366</v>
      </c>
      <c r="D197" s="404">
        <f t="shared" si="43"/>
        <v>1722531</v>
      </c>
      <c r="E197" s="409">
        <v>691490</v>
      </c>
      <c r="F197" s="409">
        <v>0</v>
      </c>
      <c r="G197" s="409">
        <v>130438</v>
      </c>
      <c r="H197" s="409">
        <v>649319</v>
      </c>
      <c r="I197" s="409">
        <v>251284</v>
      </c>
      <c r="J197" s="409">
        <v>0</v>
      </c>
      <c r="K197" s="409">
        <v>0</v>
      </c>
      <c r="L197" s="409">
        <v>366835</v>
      </c>
      <c r="M197" s="404" t="e">
        <f>'03'!#REF!+'04'!#REF!</f>
        <v>#REF!</v>
      </c>
      <c r="N197" s="404" t="e">
        <f t="shared" si="38"/>
        <v>#REF!</v>
      </c>
      <c r="O197" s="404" t="e">
        <f>'07'!#REF!</f>
        <v>#REF!</v>
      </c>
      <c r="P197" s="404" t="e">
        <f t="shared" si="39"/>
        <v>#REF!</v>
      </c>
    </row>
    <row r="198" spans="1:16" ht="24.75" customHeight="1" hidden="1">
      <c r="A198" s="461" t="s">
        <v>76</v>
      </c>
      <c r="B198" s="489" t="s">
        <v>215</v>
      </c>
      <c r="C198" s="473">
        <f>(C189+C190+C191)/C188</f>
        <v>0.17172537630756696</v>
      </c>
      <c r="D198" s="396">
        <f aca="true" t="shared" si="44" ref="D198:L198">(D189+D190+D191)/D188</f>
        <v>0.40628691429321434</v>
      </c>
      <c r="E198" s="412">
        <f t="shared" si="44"/>
        <v>0.2666854563545443</v>
      </c>
      <c r="F198" s="412" t="e">
        <f t="shared" si="44"/>
        <v>#DIV/0!</v>
      </c>
      <c r="G198" s="412">
        <f t="shared" si="44"/>
        <v>1</v>
      </c>
      <c r="H198" s="412">
        <f t="shared" si="44"/>
        <v>1</v>
      </c>
      <c r="I198" s="412">
        <f t="shared" si="44"/>
        <v>0.2</v>
      </c>
      <c r="J198" s="412">
        <f t="shared" si="44"/>
        <v>0.8008626639061421</v>
      </c>
      <c r="K198" s="412">
        <f t="shared" si="44"/>
        <v>0.012180036293055014</v>
      </c>
      <c r="L198" s="412">
        <f t="shared" si="44"/>
        <v>0.19441839651381007</v>
      </c>
      <c r="M198" s="423"/>
      <c r="N198" s="490"/>
      <c r="O198" s="490"/>
      <c r="P198" s="490"/>
    </row>
    <row r="199" spans="1:16" ht="17.25" hidden="1">
      <c r="A199" s="1288" t="s">
        <v>500</v>
      </c>
      <c r="B199" s="1288"/>
      <c r="C199" s="409">
        <f>C182-C185-C186-C187</f>
        <v>0</v>
      </c>
      <c r="D199" s="409">
        <f aca="true" t="shared" si="45" ref="D199:L199">D182-D185-D186-D187</f>
        <v>0</v>
      </c>
      <c r="E199" s="409">
        <f t="shared" si="45"/>
        <v>0</v>
      </c>
      <c r="F199" s="409">
        <f t="shared" si="45"/>
        <v>0</v>
      </c>
      <c r="G199" s="409">
        <f t="shared" si="45"/>
        <v>0</v>
      </c>
      <c r="H199" s="409">
        <f t="shared" si="45"/>
        <v>0</v>
      </c>
      <c r="I199" s="409">
        <f t="shared" si="45"/>
        <v>0</v>
      </c>
      <c r="J199" s="409">
        <f t="shared" si="45"/>
        <v>0</v>
      </c>
      <c r="K199" s="409">
        <f t="shared" si="45"/>
        <v>0</v>
      </c>
      <c r="L199" s="409">
        <f t="shared" si="45"/>
        <v>0</v>
      </c>
      <c r="M199" s="423"/>
      <c r="N199" s="490"/>
      <c r="O199" s="490"/>
      <c r="P199" s="490"/>
    </row>
    <row r="200" spans="1:16" ht="17.25" hidden="1">
      <c r="A200" s="1283" t="s">
        <v>501</v>
      </c>
      <c r="B200" s="1283"/>
      <c r="C200" s="409">
        <f>C187-C188-C197</f>
        <v>0</v>
      </c>
      <c r="D200" s="409">
        <f aca="true" t="shared" si="46" ref="D200:L200">D187-D188-D197</f>
        <v>0</v>
      </c>
      <c r="E200" s="409">
        <f t="shared" si="46"/>
        <v>0</v>
      </c>
      <c r="F200" s="409">
        <f t="shared" si="46"/>
        <v>0</v>
      </c>
      <c r="G200" s="409">
        <f t="shared" si="46"/>
        <v>0</v>
      </c>
      <c r="H200" s="409">
        <f t="shared" si="46"/>
        <v>0</v>
      </c>
      <c r="I200" s="409">
        <f t="shared" si="46"/>
        <v>0</v>
      </c>
      <c r="J200" s="409">
        <f t="shared" si="46"/>
        <v>0</v>
      </c>
      <c r="K200" s="409">
        <f t="shared" si="46"/>
        <v>0</v>
      </c>
      <c r="L200" s="409">
        <f t="shared" si="46"/>
        <v>0</v>
      </c>
      <c r="M200" s="423"/>
      <c r="N200" s="490"/>
      <c r="O200" s="490"/>
      <c r="P200" s="490"/>
    </row>
    <row r="201" spans="1:16" ht="18.75" hidden="1">
      <c r="A201" s="475"/>
      <c r="B201" s="491" t="s">
        <v>520</v>
      </c>
      <c r="C201" s="491"/>
      <c r="D201" s="464"/>
      <c r="E201" s="464"/>
      <c r="F201" s="464"/>
      <c r="G201" s="1280" t="s">
        <v>520</v>
      </c>
      <c r="H201" s="1280"/>
      <c r="I201" s="1280"/>
      <c r="J201" s="1280"/>
      <c r="K201" s="1280"/>
      <c r="L201" s="1280"/>
      <c r="M201" s="478"/>
      <c r="N201" s="478"/>
      <c r="O201" s="478"/>
      <c r="P201" s="478"/>
    </row>
    <row r="202" spans="1:16" ht="18.75" hidden="1">
      <c r="A202" s="1281" t="s">
        <v>4</v>
      </c>
      <c r="B202" s="1281"/>
      <c r="C202" s="1281"/>
      <c r="D202" s="1281"/>
      <c r="E202" s="464"/>
      <c r="F202" s="464"/>
      <c r="G202" s="492"/>
      <c r="H202" s="1282" t="s">
        <v>521</v>
      </c>
      <c r="I202" s="1282"/>
      <c r="J202" s="1282"/>
      <c r="K202" s="1282"/>
      <c r="L202" s="1282"/>
      <c r="M202" s="478"/>
      <c r="N202" s="478"/>
      <c r="O202" s="478"/>
      <c r="P202" s="478"/>
    </row>
    <row r="203" ht="15" hidden="1"/>
    <row r="204" ht="15" hidden="1"/>
    <row r="205" ht="15" hidden="1"/>
    <row r="206" ht="15" hidden="1"/>
    <row r="207" ht="15" hidden="1"/>
    <row r="208" ht="15" hidden="1"/>
    <row r="209" ht="15" hidden="1"/>
    <row r="210" ht="15" hidden="1"/>
    <row r="211" ht="15" hidden="1"/>
    <row r="212" spans="1:13" ht="16.5" hidden="1">
      <c r="A212" s="1301" t="s">
        <v>33</v>
      </c>
      <c r="B212" s="1302"/>
      <c r="C212" s="474"/>
      <c r="D212" s="1303" t="s">
        <v>79</v>
      </c>
      <c r="E212" s="1303"/>
      <c r="F212" s="1303"/>
      <c r="G212" s="1303"/>
      <c r="H212" s="1303"/>
      <c r="I212" s="1303"/>
      <c r="J212" s="1303"/>
      <c r="K212" s="1294"/>
      <c r="L212" s="1294"/>
      <c r="M212" s="478"/>
    </row>
    <row r="213" spans="1:13" ht="16.5" hidden="1">
      <c r="A213" s="1270" t="s">
        <v>344</v>
      </c>
      <c r="B213" s="1270"/>
      <c r="C213" s="1270"/>
      <c r="D213" s="1303" t="s">
        <v>216</v>
      </c>
      <c r="E213" s="1303"/>
      <c r="F213" s="1303"/>
      <c r="G213" s="1303"/>
      <c r="H213" s="1303"/>
      <c r="I213" s="1303"/>
      <c r="J213" s="1303"/>
      <c r="K213" s="1299" t="s">
        <v>511</v>
      </c>
      <c r="L213" s="1299"/>
      <c r="M213" s="475"/>
    </row>
    <row r="214" spans="1:13" ht="16.5" hidden="1">
      <c r="A214" s="1270" t="s">
        <v>345</v>
      </c>
      <c r="B214" s="1270"/>
      <c r="C214" s="413"/>
      <c r="D214" s="1293" t="s">
        <v>11</v>
      </c>
      <c r="E214" s="1293"/>
      <c r="F214" s="1293"/>
      <c r="G214" s="1293"/>
      <c r="H214" s="1293"/>
      <c r="I214" s="1293"/>
      <c r="J214" s="1293"/>
      <c r="K214" s="1294"/>
      <c r="L214" s="1294"/>
      <c r="M214" s="478"/>
    </row>
    <row r="215" spans="1:13" ht="15.75" hidden="1">
      <c r="A215" s="434" t="s">
        <v>119</v>
      </c>
      <c r="B215" s="434"/>
      <c r="C215" s="419"/>
      <c r="D215" s="479"/>
      <c r="E215" s="479"/>
      <c r="F215" s="480"/>
      <c r="G215" s="480"/>
      <c r="H215" s="480"/>
      <c r="I215" s="480"/>
      <c r="J215" s="480"/>
      <c r="K215" s="1289"/>
      <c r="L215" s="1289"/>
      <c r="M215" s="475"/>
    </row>
    <row r="216" spans="1:13" ht="15.75" hidden="1">
      <c r="A216" s="479"/>
      <c r="B216" s="479" t="s">
        <v>94</v>
      </c>
      <c r="C216" s="479"/>
      <c r="D216" s="479"/>
      <c r="E216" s="479"/>
      <c r="F216" s="479"/>
      <c r="G216" s="479"/>
      <c r="H216" s="479"/>
      <c r="I216" s="479"/>
      <c r="J216" s="479"/>
      <c r="K216" s="1300"/>
      <c r="L216" s="1300"/>
      <c r="M216" s="475"/>
    </row>
    <row r="217" spans="1:13" ht="15.75" hidden="1">
      <c r="A217" s="932" t="s">
        <v>71</v>
      </c>
      <c r="B217" s="933"/>
      <c r="C217" s="1284" t="s">
        <v>38</v>
      </c>
      <c r="D217" s="1309" t="s">
        <v>339</v>
      </c>
      <c r="E217" s="1309"/>
      <c r="F217" s="1309"/>
      <c r="G217" s="1309"/>
      <c r="H217" s="1309"/>
      <c r="I217" s="1309"/>
      <c r="J217" s="1309"/>
      <c r="K217" s="1309"/>
      <c r="L217" s="1309"/>
      <c r="M217" s="478"/>
    </row>
    <row r="218" spans="1:13" ht="15.75" hidden="1">
      <c r="A218" s="934"/>
      <c r="B218" s="935"/>
      <c r="C218" s="1284"/>
      <c r="D218" s="1310" t="s">
        <v>207</v>
      </c>
      <c r="E218" s="1311"/>
      <c r="F218" s="1311"/>
      <c r="G218" s="1311"/>
      <c r="H218" s="1311"/>
      <c r="I218" s="1311"/>
      <c r="J218" s="1312"/>
      <c r="K218" s="1290" t="s">
        <v>208</v>
      </c>
      <c r="L218" s="1290" t="s">
        <v>209</v>
      </c>
      <c r="M218" s="475"/>
    </row>
    <row r="219" spans="1:13" ht="15.75" hidden="1">
      <c r="A219" s="934"/>
      <c r="B219" s="935"/>
      <c r="C219" s="1284"/>
      <c r="D219" s="1285" t="s">
        <v>37</v>
      </c>
      <c r="E219" s="1306" t="s">
        <v>7</v>
      </c>
      <c r="F219" s="1307"/>
      <c r="G219" s="1307"/>
      <c r="H219" s="1307"/>
      <c r="I219" s="1307"/>
      <c r="J219" s="1308"/>
      <c r="K219" s="1297"/>
      <c r="L219" s="1291"/>
      <c r="M219" s="475"/>
    </row>
    <row r="220" spans="1:16" ht="15.75" hidden="1">
      <c r="A220" s="1295"/>
      <c r="B220" s="1296"/>
      <c r="C220" s="1284"/>
      <c r="D220" s="1285"/>
      <c r="E220" s="481" t="s">
        <v>210</v>
      </c>
      <c r="F220" s="481" t="s">
        <v>211</v>
      </c>
      <c r="G220" s="481" t="s">
        <v>212</v>
      </c>
      <c r="H220" s="481" t="s">
        <v>213</v>
      </c>
      <c r="I220" s="481" t="s">
        <v>346</v>
      </c>
      <c r="J220" s="481" t="s">
        <v>214</v>
      </c>
      <c r="K220" s="1298"/>
      <c r="L220" s="1292"/>
      <c r="M220" s="1305" t="s">
        <v>502</v>
      </c>
      <c r="N220" s="1305"/>
      <c r="O220" s="1305"/>
      <c r="P220" s="1305"/>
    </row>
    <row r="221" spans="1:16" ht="15" hidden="1">
      <c r="A221" s="1286" t="s">
        <v>6</v>
      </c>
      <c r="B221" s="1287"/>
      <c r="C221" s="482">
        <v>1</v>
      </c>
      <c r="D221" s="483">
        <v>2</v>
      </c>
      <c r="E221" s="482">
        <v>3</v>
      </c>
      <c r="F221" s="483">
        <v>4</v>
      </c>
      <c r="G221" s="482">
        <v>5</v>
      </c>
      <c r="H221" s="483">
        <v>6</v>
      </c>
      <c r="I221" s="482">
        <v>7</v>
      </c>
      <c r="J221" s="483">
        <v>8</v>
      </c>
      <c r="K221" s="482">
        <v>9</v>
      </c>
      <c r="L221" s="483">
        <v>10</v>
      </c>
      <c r="M221" s="484" t="s">
        <v>503</v>
      </c>
      <c r="N221" s="485" t="s">
        <v>506</v>
      </c>
      <c r="O221" s="485" t="s">
        <v>504</v>
      </c>
      <c r="P221" s="485" t="s">
        <v>505</v>
      </c>
    </row>
    <row r="222" spans="1:16" ht="24.75" customHeight="1" hidden="1">
      <c r="A222" s="426" t="s">
        <v>0</v>
      </c>
      <c r="B222" s="427" t="s">
        <v>131</v>
      </c>
      <c r="C222" s="404">
        <f>C223+C224</f>
        <v>151317.2</v>
      </c>
      <c r="D222" s="404">
        <f aca="true" t="shared" si="47" ref="D222:L222">D223+D224</f>
        <v>70217.2</v>
      </c>
      <c r="E222" s="404">
        <f t="shared" si="47"/>
        <v>30144.2</v>
      </c>
      <c r="F222" s="404">
        <f t="shared" si="47"/>
        <v>0</v>
      </c>
      <c r="G222" s="404">
        <f t="shared" si="47"/>
        <v>26600</v>
      </c>
      <c r="H222" s="404">
        <f t="shared" si="47"/>
        <v>10300</v>
      </c>
      <c r="I222" s="404">
        <f t="shared" si="47"/>
        <v>0</v>
      </c>
      <c r="J222" s="404">
        <f t="shared" si="47"/>
        <v>3173</v>
      </c>
      <c r="K222" s="404">
        <f t="shared" si="47"/>
        <v>0</v>
      </c>
      <c r="L222" s="404">
        <f t="shared" si="47"/>
        <v>81100</v>
      </c>
      <c r="M222" s="404" t="e">
        <f>'03'!#REF!+'04'!#REF!</f>
        <v>#REF!</v>
      </c>
      <c r="N222" s="404" t="e">
        <f>C222-M222</f>
        <v>#REF!</v>
      </c>
      <c r="O222" s="404" t="e">
        <f>'07'!#REF!</f>
        <v>#REF!</v>
      </c>
      <c r="P222" s="404" t="e">
        <f>C222-O222</f>
        <v>#REF!</v>
      </c>
    </row>
    <row r="223" spans="1:16" ht="24.75" customHeight="1" hidden="1">
      <c r="A223" s="429">
        <v>1</v>
      </c>
      <c r="B223" s="430"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48" ref="N223:N237">C223-M223</f>
        <v>#REF!</v>
      </c>
      <c r="O223" s="404" t="e">
        <f>'07'!#REF!</f>
        <v>#REF!</v>
      </c>
      <c r="P223" s="409" t="e">
        <f aca="true" t="shared" si="49" ref="P223:P237">C223-O223</f>
        <v>#REF!</v>
      </c>
    </row>
    <row r="224" spans="1:16" ht="24.75" customHeight="1" hidden="1">
      <c r="A224" s="429">
        <v>2</v>
      </c>
      <c r="B224" s="430"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48"/>
        <v>#REF!</v>
      </c>
      <c r="O224" s="404" t="e">
        <f>'07'!#REF!</f>
        <v>#REF!</v>
      </c>
      <c r="P224" s="409" t="e">
        <f t="shared" si="49"/>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48"/>
        <v>#REF!</v>
      </c>
      <c r="O225" s="409" t="e">
        <f>'07'!#REF!</f>
        <v>#REF!</v>
      </c>
      <c r="P225" s="409" t="e">
        <f t="shared" si="49"/>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8"/>
        <v>#REF!</v>
      </c>
      <c r="O226" s="409" t="e">
        <f>'07'!#REF!</f>
        <v>#REF!</v>
      </c>
      <c r="P226" s="409" t="e">
        <f t="shared" si="49"/>
        <v>#REF!</v>
      </c>
    </row>
    <row r="227" spans="1:16" ht="24.75" customHeight="1" hidden="1">
      <c r="A227" s="394" t="s">
        <v>136</v>
      </c>
      <c r="B227" s="395" t="s">
        <v>137</v>
      </c>
      <c r="C227" s="404">
        <f>C228+C237</f>
        <v>151317.2</v>
      </c>
      <c r="D227" s="404">
        <f aca="true" t="shared" si="50" ref="D227:L227">D228+D237</f>
        <v>70217.2</v>
      </c>
      <c r="E227" s="404">
        <f t="shared" si="50"/>
        <v>30144.2</v>
      </c>
      <c r="F227" s="404">
        <f t="shared" si="50"/>
        <v>0</v>
      </c>
      <c r="G227" s="404">
        <f t="shared" si="50"/>
        <v>26600</v>
      </c>
      <c r="H227" s="404">
        <f t="shared" si="50"/>
        <v>10300</v>
      </c>
      <c r="I227" s="404">
        <f t="shared" si="50"/>
        <v>0</v>
      </c>
      <c r="J227" s="404">
        <f t="shared" si="50"/>
        <v>3173</v>
      </c>
      <c r="K227" s="404">
        <f t="shared" si="50"/>
        <v>0</v>
      </c>
      <c r="L227" s="404">
        <f t="shared" si="50"/>
        <v>81100</v>
      </c>
      <c r="M227" s="404" t="e">
        <f>'03'!#REF!+'04'!#REF!</f>
        <v>#REF!</v>
      </c>
      <c r="N227" s="404" t="e">
        <f t="shared" si="48"/>
        <v>#REF!</v>
      </c>
      <c r="O227" s="404" t="e">
        <f>'07'!#REF!</f>
        <v>#REF!</v>
      </c>
      <c r="P227" s="404" t="e">
        <f t="shared" si="49"/>
        <v>#REF!</v>
      </c>
    </row>
    <row r="228" spans="1:16" ht="24.75" customHeight="1" hidden="1">
      <c r="A228" s="394" t="s">
        <v>52</v>
      </c>
      <c r="B228" s="431" t="s">
        <v>138</v>
      </c>
      <c r="C228" s="404">
        <f>SUM(C229:C236)</f>
        <v>109777.2</v>
      </c>
      <c r="D228" s="404">
        <f aca="true" t="shared" si="51" ref="D228:L228">SUM(D229:D236)</f>
        <v>28677.2</v>
      </c>
      <c r="E228" s="404">
        <f t="shared" si="51"/>
        <v>25504.2</v>
      </c>
      <c r="F228" s="404">
        <f t="shared" si="51"/>
        <v>0</v>
      </c>
      <c r="G228" s="404">
        <f t="shared" si="51"/>
        <v>0</v>
      </c>
      <c r="H228" s="404">
        <f t="shared" si="51"/>
        <v>0</v>
      </c>
      <c r="I228" s="404">
        <f t="shared" si="51"/>
        <v>0</v>
      </c>
      <c r="J228" s="404">
        <f t="shared" si="51"/>
        <v>3173</v>
      </c>
      <c r="K228" s="404">
        <f t="shared" si="51"/>
        <v>0</v>
      </c>
      <c r="L228" s="404">
        <f t="shared" si="51"/>
        <v>81100</v>
      </c>
      <c r="M228" s="404" t="e">
        <f>'03'!#REF!+'04'!#REF!</f>
        <v>#REF!</v>
      </c>
      <c r="N228" s="404" t="e">
        <f t="shared" si="48"/>
        <v>#REF!</v>
      </c>
      <c r="O228" s="404" t="e">
        <f>'07'!#REF!</f>
        <v>#REF!</v>
      </c>
      <c r="P228" s="404" t="e">
        <f t="shared" si="49"/>
        <v>#REF!</v>
      </c>
    </row>
    <row r="229" spans="1:16" ht="24.75" customHeight="1" hidden="1">
      <c r="A229" s="429" t="s">
        <v>54</v>
      </c>
      <c r="B229" s="430" t="s">
        <v>139</v>
      </c>
      <c r="C229" s="404">
        <f aca="true" t="shared" si="52" ref="C229:C237">D229+K229+L229</f>
        <v>60767</v>
      </c>
      <c r="D229" s="404">
        <f aca="true" t="shared" si="53" ref="D229:D237">E229+F229+G229+H229+I229+J229</f>
        <v>16267</v>
      </c>
      <c r="E229" s="409">
        <v>13195</v>
      </c>
      <c r="F229" s="409">
        <v>0</v>
      </c>
      <c r="G229" s="409">
        <v>0</v>
      </c>
      <c r="H229" s="409">
        <v>0</v>
      </c>
      <c r="I229" s="409">
        <v>0</v>
      </c>
      <c r="J229" s="409">
        <v>3072</v>
      </c>
      <c r="K229" s="409">
        <v>0</v>
      </c>
      <c r="L229" s="409">
        <v>44500</v>
      </c>
      <c r="M229" s="409" t="e">
        <f>'03'!#REF!+'04'!#REF!</f>
        <v>#REF!</v>
      </c>
      <c r="N229" s="409" t="e">
        <f t="shared" si="48"/>
        <v>#REF!</v>
      </c>
      <c r="O229" s="409" t="e">
        <f>'07'!#REF!</f>
        <v>#REF!</v>
      </c>
      <c r="P229" s="409" t="e">
        <f t="shared" si="49"/>
        <v>#REF!</v>
      </c>
    </row>
    <row r="230" spans="1:16" ht="24.75" customHeight="1" hidden="1">
      <c r="A230" s="429" t="s">
        <v>55</v>
      </c>
      <c r="B230" s="430" t="s">
        <v>140</v>
      </c>
      <c r="C230" s="404">
        <f t="shared" si="52"/>
        <v>0</v>
      </c>
      <c r="D230" s="404">
        <f t="shared" si="53"/>
        <v>0</v>
      </c>
      <c r="E230" s="409">
        <v>0</v>
      </c>
      <c r="F230" s="409">
        <v>0</v>
      </c>
      <c r="G230" s="409">
        <v>0</v>
      </c>
      <c r="H230" s="409">
        <v>0</v>
      </c>
      <c r="I230" s="409">
        <v>0</v>
      </c>
      <c r="J230" s="409">
        <v>0</v>
      </c>
      <c r="K230" s="409">
        <v>0</v>
      </c>
      <c r="L230" s="409">
        <v>0</v>
      </c>
      <c r="M230" s="409" t="e">
        <f>'03'!#REF!+'04'!#REF!</f>
        <v>#REF!</v>
      </c>
      <c r="N230" s="409" t="e">
        <f t="shared" si="48"/>
        <v>#REF!</v>
      </c>
      <c r="O230" s="409" t="e">
        <f>'07'!#REF!</f>
        <v>#REF!</v>
      </c>
      <c r="P230" s="409" t="e">
        <f t="shared" si="49"/>
        <v>#REF!</v>
      </c>
    </row>
    <row r="231" spans="1:16" ht="24.75" customHeight="1" hidden="1">
      <c r="A231" s="429" t="s">
        <v>141</v>
      </c>
      <c r="B231" s="430" t="s">
        <v>202</v>
      </c>
      <c r="C231" s="404">
        <f t="shared" si="52"/>
        <v>0</v>
      </c>
      <c r="D231" s="404">
        <f t="shared" si="53"/>
        <v>0</v>
      </c>
      <c r="E231" s="409">
        <v>0</v>
      </c>
      <c r="F231" s="409">
        <v>0</v>
      </c>
      <c r="G231" s="409">
        <v>0</v>
      </c>
      <c r="H231" s="409">
        <v>0</v>
      </c>
      <c r="I231" s="409">
        <v>0</v>
      </c>
      <c r="J231" s="409">
        <v>0</v>
      </c>
      <c r="K231" s="409">
        <v>0</v>
      </c>
      <c r="L231" s="409">
        <v>0</v>
      </c>
      <c r="M231" s="409" t="e">
        <f>'03'!#REF!</f>
        <v>#REF!</v>
      </c>
      <c r="N231" s="409" t="e">
        <f t="shared" si="48"/>
        <v>#REF!</v>
      </c>
      <c r="O231" s="409" t="e">
        <f>'07'!#REF!</f>
        <v>#REF!</v>
      </c>
      <c r="P231" s="409" t="e">
        <f t="shared" si="49"/>
        <v>#REF!</v>
      </c>
    </row>
    <row r="232" spans="1:16" ht="24.75" customHeight="1" hidden="1">
      <c r="A232" s="429" t="s">
        <v>143</v>
      </c>
      <c r="B232" s="430" t="s">
        <v>142</v>
      </c>
      <c r="C232" s="404">
        <f t="shared" si="52"/>
        <v>49010.2</v>
      </c>
      <c r="D232" s="404">
        <f t="shared" si="53"/>
        <v>12410.2</v>
      </c>
      <c r="E232" s="409">
        <v>12309.2</v>
      </c>
      <c r="F232" s="409">
        <v>0</v>
      </c>
      <c r="G232" s="409">
        <v>0</v>
      </c>
      <c r="H232" s="409">
        <v>0</v>
      </c>
      <c r="I232" s="409">
        <v>0</v>
      </c>
      <c r="J232" s="409">
        <v>101</v>
      </c>
      <c r="K232" s="409">
        <v>0</v>
      </c>
      <c r="L232" s="409">
        <v>36600</v>
      </c>
      <c r="M232" s="409" t="e">
        <f>'03'!#REF!+'04'!#REF!</f>
        <v>#REF!</v>
      </c>
      <c r="N232" s="409" t="e">
        <f t="shared" si="48"/>
        <v>#REF!</v>
      </c>
      <c r="O232" s="409" t="e">
        <f>'07'!#REF!</f>
        <v>#REF!</v>
      </c>
      <c r="P232" s="409" t="e">
        <f t="shared" si="49"/>
        <v>#REF!</v>
      </c>
    </row>
    <row r="233" spans="1:16" ht="24.75" customHeight="1" hidden="1">
      <c r="A233" s="429" t="s">
        <v>145</v>
      </c>
      <c r="B233" s="430" t="s">
        <v>144</v>
      </c>
      <c r="C233" s="404">
        <f t="shared" si="52"/>
        <v>0</v>
      </c>
      <c r="D233" s="404">
        <f t="shared" si="53"/>
        <v>0</v>
      </c>
      <c r="E233" s="409">
        <v>0</v>
      </c>
      <c r="F233" s="409">
        <v>0</v>
      </c>
      <c r="G233" s="409">
        <v>0</v>
      </c>
      <c r="H233" s="409">
        <v>0</v>
      </c>
      <c r="I233" s="409">
        <v>0</v>
      </c>
      <c r="J233" s="409">
        <v>0</v>
      </c>
      <c r="K233" s="409">
        <v>0</v>
      </c>
      <c r="L233" s="409">
        <v>0</v>
      </c>
      <c r="M233" s="409" t="e">
        <f>'03'!#REF!+'04'!#REF!</f>
        <v>#REF!</v>
      </c>
      <c r="N233" s="409" t="e">
        <f t="shared" si="48"/>
        <v>#REF!</v>
      </c>
      <c r="O233" s="409" t="e">
        <f>'07'!#REF!</f>
        <v>#REF!</v>
      </c>
      <c r="P233" s="409" t="e">
        <f t="shared" si="49"/>
        <v>#REF!</v>
      </c>
    </row>
    <row r="234" spans="1:16" ht="24.75" customHeight="1" hidden="1">
      <c r="A234" s="429" t="s">
        <v>147</v>
      </c>
      <c r="B234" s="430" t="s">
        <v>146</v>
      </c>
      <c r="C234" s="404">
        <f t="shared" si="52"/>
        <v>0</v>
      </c>
      <c r="D234" s="404">
        <f t="shared" si="53"/>
        <v>0</v>
      </c>
      <c r="E234" s="409">
        <v>0</v>
      </c>
      <c r="F234" s="409">
        <v>0</v>
      </c>
      <c r="G234" s="409">
        <v>0</v>
      </c>
      <c r="H234" s="409">
        <v>0</v>
      </c>
      <c r="I234" s="409">
        <v>0</v>
      </c>
      <c r="J234" s="409">
        <v>0</v>
      </c>
      <c r="K234" s="409">
        <v>0</v>
      </c>
      <c r="L234" s="409">
        <v>0</v>
      </c>
      <c r="M234" s="409" t="e">
        <f>'03'!#REF!+'04'!#REF!</f>
        <v>#REF!</v>
      </c>
      <c r="N234" s="409" t="e">
        <f t="shared" si="48"/>
        <v>#REF!</v>
      </c>
      <c r="O234" s="409" t="e">
        <f>'07'!#REF!</f>
        <v>#REF!</v>
      </c>
      <c r="P234" s="409" t="e">
        <f t="shared" si="49"/>
        <v>#REF!</v>
      </c>
    </row>
    <row r="235" spans="1:16" ht="24.75" customHeight="1" hidden="1">
      <c r="A235" s="429" t="s">
        <v>149</v>
      </c>
      <c r="B235" s="432" t="s">
        <v>148</v>
      </c>
      <c r="C235" s="404">
        <f t="shared" si="52"/>
        <v>0</v>
      </c>
      <c r="D235" s="404">
        <f t="shared" si="53"/>
        <v>0</v>
      </c>
      <c r="E235" s="409">
        <v>0</v>
      </c>
      <c r="F235" s="409">
        <v>0</v>
      </c>
      <c r="G235" s="409"/>
      <c r="H235" s="409">
        <v>0</v>
      </c>
      <c r="I235" s="409">
        <v>0</v>
      </c>
      <c r="J235" s="409">
        <v>0</v>
      </c>
      <c r="K235" s="409">
        <v>0</v>
      </c>
      <c r="L235" s="409">
        <v>0</v>
      </c>
      <c r="M235" s="409" t="e">
        <f>'03'!#REF!+'04'!#REF!</f>
        <v>#REF!</v>
      </c>
      <c r="N235" s="409" t="e">
        <f t="shared" si="48"/>
        <v>#REF!</v>
      </c>
      <c r="O235" s="409" t="e">
        <f>'07'!#REF!</f>
        <v>#REF!</v>
      </c>
      <c r="P235" s="409" t="e">
        <f t="shared" si="49"/>
        <v>#REF!</v>
      </c>
    </row>
    <row r="236" spans="1:16" ht="24.75" customHeight="1" hidden="1">
      <c r="A236" s="429" t="s">
        <v>186</v>
      </c>
      <c r="B236" s="430" t="s">
        <v>150</v>
      </c>
      <c r="C236" s="404">
        <f t="shared" si="52"/>
        <v>0</v>
      </c>
      <c r="D236" s="404">
        <f t="shared" si="53"/>
        <v>0</v>
      </c>
      <c r="E236" s="409">
        <v>0</v>
      </c>
      <c r="F236" s="409">
        <v>0</v>
      </c>
      <c r="G236" s="409">
        <v>0</v>
      </c>
      <c r="H236" s="409">
        <v>0</v>
      </c>
      <c r="I236" s="409">
        <v>0</v>
      </c>
      <c r="J236" s="409">
        <v>0</v>
      </c>
      <c r="K236" s="409">
        <v>0</v>
      </c>
      <c r="L236" s="409">
        <v>0</v>
      </c>
      <c r="M236" s="409" t="e">
        <f>'03'!#REF!+'04'!#REF!</f>
        <v>#REF!</v>
      </c>
      <c r="N236" s="409" t="e">
        <f t="shared" si="48"/>
        <v>#REF!</v>
      </c>
      <c r="O236" s="409" t="e">
        <f>'07'!#REF!</f>
        <v>#REF!</v>
      </c>
      <c r="P236" s="409" t="e">
        <f t="shared" si="49"/>
        <v>#REF!</v>
      </c>
    </row>
    <row r="237" spans="1:16" ht="24.75" customHeight="1" hidden="1">
      <c r="A237" s="394" t="s">
        <v>53</v>
      </c>
      <c r="B237" s="395" t="s">
        <v>151</v>
      </c>
      <c r="C237" s="404">
        <f t="shared" si="52"/>
        <v>41540</v>
      </c>
      <c r="D237" s="404">
        <f t="shared" si="53"/>
        <v>41540</v>
      </c>
      <c r="E237" s="409">
        <v>4640</v>
      </c>
      <c r="F237" s="409">
        <v>0</v>
      </c>
      <c r="G237" s="409">
        <v>26600</v>
      </c>
      <c r="H237" s="409">
        <v>10300</v>
      </c>
      <c r="I237" s="409">
        <v>0</v>
      </c>
      <c r="J237" s="409">
        <v>0</v>
      </c>
      <c r="K237" s="409">
        <v>0</v>
      </c>
      <c r="L237" s="409">
        <v>0</v>
      </c>
      <c r="M237" s="404" t="e">
        <f>'03'!#REF!+'04'!#REF!</f>
        <v>#REF!</v>
      </c>
      <c r="N237" s="404" t="e">
        <f t="shared" si="48"/>
        <v>#REF!</v>
      </c>
      <c r="O237" s="404" t="e">
        <f>'07'!#REF!</f>
        <v>#REF!</v>
      </c>
      <c r="P237" s="404" t="e">
        <f t="shared" si="49"/>
        <v>#REF!</v>
      </c>
    </row>
    <row r="238" spans="1:16" ht="24.75" customHeight="1" hidden="1">
      <c r="A238" s="461" t="s">
        <v>76</v>
      </c>
      <c r="B238" s="489" t="s">
        <v>215</v>
      </c>
      <c r="C238" s="473">
        <f>(C229+C230+C231)/C228</f>
        <v>0.5535484599716517</v>
      </c>
      <c r="D238" s="396">
        <f aca="true" t="shared" si="54" ref="D238:L238">(D229+D230+D231)/D228</f>
        <v>0.5672450587923507</v>
      </c>
      <c r="E238" s="412">
        <f t="shared" si="54"/>
        <v>0.5173657672069698</v>
      </c>
      <c r="F238" s="412" t="e">
        <f t="shared" si="54"/>
        <v>#DIV/0!</v>
      </c>
      <c r="G238" s="412" t="e">
        <f t="shared" si="54"/>
        <v>#DIV/0!</v>
      </c>
      <c r="H238" s="412" t="e">
        <f t="shared" si="54"/>
        <v>#DIV/0!</v>
      </c>
      <c r="I238" s="412" t="e">
        <f t="shared" si="54"/>
        <v>#DIV/0!</v>
      </c>
      <c r="J238" s="412">
        <f t="shared" si="54"/>
        <v>0.9681689253072802</v>
      </c>
      <c r="K238" s="412" t="e">
        <f t="shared" si="54"/>
        <v>#DIV/0!</v>
      </c>
      <c r="L238" s="412">
        <f t="shared" si="54"/>
        <v>0.5487053020961775</v>
      </c>
      <c r="M238" s="423"/>
      <c r="N238" s="490"/>
      <c r="O238" s="490"/>
      <c r="P238" s="490"/>
    </row>
    <row r="239" spans="1:16" ht="27.75" customHeight="1" hidden="1">
      <c r="A239" s="1288" t="s">
        <v>500</v>
      </c>
      <c r="B239" s="1288"/>
      <c r="C239" s="409">
        <f>C222-C225-C226-C227</f>
        <v>0</v>
      </c>
      <c r="D239" s="409">
        <f aca="true" t="shared" si="55" ref="D239:L239">D222-D225-D226-D227</f>
        <v>0</v>
      </c>
      <c r="E239" s="409">
        <f t="shared" si="55"/>
        <v>0</v>
      </c>
      <c r="F239" s="409">
        <f t="shared" si="55"/>
        <v>0</v>
      </c>
      <c r="G239" s="409">
        <f t="shared" si="55"/>
        <v>0</v>
      </c>
      <c r="H239" s="409">
        <f t="shared" si="55"/>
        <v>0</v>
      </c>
      <c r="I239" s="409">
        <f t="shared" si="55"/>
        <v>0</v>
      </c>
      <c r="J239" s="409">
        <f t="shared" si="55"/>
        <v>0</v>
      </c>
      <c r="K239" s="409">
        <f t="shared" si="55"/>
        <v>0</v>
      </c>
      <c r="L239" s="409">
        <f t="shared" si="55"/>
        <v>0</v>
      </c>
      <c r="M239" s="423"/>
      <c r="N239" s="490"/>
      <c r="O239" s="490"/>
      <c r="P239" s="490"/>
    </row>
    <row r="240" spans="1:16" ht="17.25" hidden="1">
      <c r="A240" s="1283" t="s">
        <v>501</v>
      </c>
      <c r="B240" s="1283"/>
      <c r="C240" s="409">
        <f>C227-C228-C237</f>
        <v>0</v>
      </c>
      <c r="D240" s="409">
        <f aca="true" t="shared" si="56" ref="D240:L240">D227-D228-D237</f>
        <v>0</v>
      </c>
      <c r="E240" s="409">
        <f t="shared" si="56"/>
        <v>0</v>
      </c>
      <c r="F240" s="409">
        <f t="shared" si="56"/>
        <v>0</v>
      </c>
      <c r="G240" s="409">
        <f t="shared" si="56"/>
        <v>0</v>
      </c>
      <c r="H240" s="409">
        <f t="shared" si="56"/>
        <v>0</v>
      </c>
      <c r="I240" s="409">
        <f t="shared" si="56"/>
        <v>0</v>
      </c>
      <c r="J240" s="409">
        <f t="shared" si="56"/>
        <v>0</v>
      </c>
      <c r="K240" s="409">
        <f t="shared" si="56"/>
        <v>0</v>
      </c>
      <c r="L240" s="409">
        <f t="shared" si="56"/>
        <v>0</v>
      </c>
      <c r="M240" s="423"/>
      <c r="N240" s="490"/>
      <c r="O240" s="490"/>
      <c r="P240" s="490"/>
    </row>
    <row r="241" spans="1:16" ht="18.75" hidden="1">
      <c r="A241" s="475"/>
      <c r="B241" s="491" t="s">
        <v>520</v>
      </c>
      <c r="C241" s="491"/>
      <c r="D241" s="464"/>
      <c r="E241" s="464"/>
      <c r="F241" s="464"/>
      <c r="G241" s="1280" t="s">
        <v>520</v>
      </c>
      <c r="H241" s="1280"/>
      <c r="I241" s="1280"/>
      <c r="J241" s="1280"/>
      <c r="K241" s="1280"/>
      <c r="L241" s="1280"/>
      <c r="M241" s="478"/>
      <c r="N241" s="478"/>
      <c r="O241" s="478"/>
      <c r="P241" s="478"/>
    </row>
    <row r="242" spans="1:16" ht="18.75" hidden="1">
      <c r="A242" s="1281" t="s">
        <v>4</v>
      </c>
      <c r="B242" s="1281"/>
      <c r="C242" s="1281"/>
      <c r="D242" s="1281"/>
      <c r="E242" s="464"/>
      <c r="F242" s="464"/>
      <c r="G242" s="492"/>
      <c r="H242" s="1282" t="s">
        <v>521</v>
      </c>
      <c r="I242" s="1282"/>
      <c r="J242" s="1282"/>
      <c r="K242" s="1282"/>
      <c r="L242" s="1282"/>
      <c r="M242" s="478"/>
      <c r="N242" s="478"/>
      <c r="O242" s="478"/>
      <c r="P242" s="478"/>
    </row>
    <row r="243" ht="15" hidden="1"/>
    <row r="244" ht="15" hidden="1"/>
    <row r="245" ht="15" hidden="1"/>
    <row r="246" ht="98.25" customHeight="1" hidden="1"/>
    <row r="247" ht="15" hidden="1"/>
    <row r="248" ht="63.75" customHeight="1" hidden="1"/>
    <row r="249" ht="15" hidden="1"/>
    <row r="250" ht="15" hidden="1"/>
    <row r="251" spans="1:13" ht="16.5" hidden="1">
      <c r="A251" s="1301" t="s">
        <v>33</v>
      </c>
      <c r="B251" s="1302"/>
      <c r="C251" s="474"/>
      <c r="D251" s="1303" t="s">
        <v>79</v>
      </c>
      <c r="E251" s="1303"/>
      <c r="F251" s="1303"/>
      <c r="G251" s="1303"/>
      <c r="H251" s="1303"/>
      <c r="I251" s="1303"/>
      <c r="J251" s="1303"/>
      <c r="K251" s="1294"/>
      <c r="L251" s="1294"/>
      <c r="M251" s="478"/>
    </row>
    <row r="252" spans="1:13" ht="16.5" hidden="1">
      <c r="A252" s="1270" t="s">
        <v>344</v>
      </c>
      <c r="B252" s="1270"/>
      <c r="C252" s="1270"/>
      <c r="D252" s="1303" t="s">
        <v>216</v>
      </c>
      <c r="E252" s="1303"/>
      <c r="F252" s="1303"/>
      <c r="G252" s="1303"/>
      <c r="H252" s="1303"/>
      <c r="I252" s="1303"/>
      <c r="J252" s="1303"/>
      <c r="K252" s="1299" t="s">
        <v>512</v>
      </c>
      <c r="L252" s="1299"/>
      <c r="M252" s="475"/>
    </row>
    <row r="253" spans="1:13" ht="16.5" hidden="1">
      <c r="A253" s="1270" t="s">
        <v>345</v>
      </c>
      <c r="B253" s="1270"/>
      <c r="C253" s="413"/>
      <c r="D253" s="1293" t="s">
        <v>11</v>
      </c>
      <c r="E253" s="1293"/>
      <c r="F253" s="1293"/>
      <c r="G253" s="1293"/>
      <c r="H253" s="1293"/>
      <c r="I253" s="1293"/>
      <c r="J253" s="1293"/>
      <c r="K253" s="1294"/>
      <c r="L253" s="1294"/>
      <c r="M253" s="478"/>
    </row>
    <row r="254" spans="1:13" ht="15.75" hidden="1">
      <c r="A254" s="434" t="s">
        <v>119</v>
      </c>
      <c r="B254" s="434"/>
      <c r="C254" s="419"/>
      <c r="D254" s="479"/>
      <c r="E254" s="479"/>
      <c r="F254" s="480"/>
      <c r="G254" s="480"/>
      <c r="H254" s="480"/>
      <c r="I254" s="480"/>
      <c r="J254" s="480"/>
      <c r="K254" s="1289"/>
      <c r="L254" s="1289"/>
      <c r="M254" s="475"/>
    </row>
    <row r="255" spans="1:13" ht="15.75" hidden="1">
      <c r="A255" s="479"/>
      <c r="B255" s="479" t="s">
        <v>94</v>
      </c>
      <c r="C255" s="479"/>
      <c r="D255" s="479"/>
      <c r="E255" s="409">
        <v>122557</v>
      </c>
      <c r="F255" s="409"/>
      <c r="G255" s="409">
        <v>181987</v>
      </c>
      <c r="H255" s="409"/>
      <c r="I255" s="409">
        <v>16298</v>
      </c>
      <c r="J255" s="409"/>
      <c r="K255" s="409">
        <v>251785</v>
      </c>
      <c r="L255" s="409"/>
      <c r="M255" s="475"/>
    </row>
    <row r="256" spans="1:13" ht="15.75" hidden="1">
      <c r="A256" s="932" t="s">
        <v>71</v>
      </c>
      <c r="B256" s="933"/>
      <c r="C256" s="1284" t="s">
        <v>38</v>
      </c>
      <c r="D256" s="1309" t="s">
        <v>339</v>
      </c>
      <c r="E256" s="1309"/>
      <c r="F256" s="1309"/>
      <c r="G256" s="1309"/>
      <c r="H256" s="1309"/>
      <c r="I256" s="1309"/>
      <c r="J256" s="1309"/>
      <c r="K256" s="1309"/>
      <c r="L256" s="1309"/>
      <c r="M256" s="478"/>
    </row>
    <row r="257" spans="1:13" ht="15.75" hidden="1">
      <c r="A257" s="934"/>
      <c r="B257" s="935"/>
      <c r="C257" s="1284"/>
      <c r="D257" s="1310" t="s">
        <v>207</v>
      </c>
      <c r="E257" s="1311"/>
      <c r="F257" s="1311"/>
      <c r="G257" s="1311"/>
      <c r="H257" s="1311"/>
      <c r="I257" s="1311"/>
      <c r="J257" s="1312"/>
      <c r="K257" s="1290" t="s">
        <v>208</v>
      </c>
      <c r="L257" s="1290" t="s">
        <v>209</v>
      </c>
      <c r="M257" s="475"/>
    </row>
    <row r="258" spans="1:13" ht="15.75" hidden="1">
      <c r="A258" s="934"/>
      <c r="B258" s="935"/>
      <c r="C258" s="1284"/>
      <c r="D258" s="1285" t="s">
        <v>37</v>
      </c>
      <c r="E258" s="1306" t="s">
        <v>7</v>
      </c>
      <c r="F258" s="1307"/>
      <c r="G258" s="1307"/>
      <c r="H258" s="1307"/>
      <c r="I258" s="1307"/>
      <c r="J258" s="1308"/>
      <c r="K258" s="1297"/>
      <c r="L258" s="1291"/>
      <c r="M258" s="475"/>
    </row>
    <row r="259" spans="1:16" ht="15.75" hidden="1">
      <c r="A259" s="1295"/>
      <c r="B259" s="1296"/>
      <c r="C259" s="1284"/>
      <c r="D259" s="1285"/>
      <c r="E259" s="481" t="s">
        <v>210</v>
      </c>
      <c r="F259" s="481" t="s">
        <v>211</v>
      </c>
      <c r="G259" s="481" t="s">
        <v>212</v>
      </c>
      <c r="H259" s="481" t="s">
        <v>213</v>
      </c>
      <c r="I259" s="481" t="s">
        <v>346</v>
      </c>
      <c r="J259" s="481" t="s">
        <v>214</v>
      </c>
      <c r="K259" s="1298"/>
      <c r="L259" s="1292"/>
      <c r="M259" s="1305" t="s">
        <v>502</v>
      </c>
      <c r="N259" s="1305"/>
      <c r="O259" s="1305"/>
      <c r="P259" s="1305"/>
    </row>
    <row r="260" spans="1:16" ht="15" hidden="1">
      <c r="A260" s="1286" t="s">
        <v>6</v>
      </c>
      <c r="B260" s="1287"/>
      <c r="C260" s="482">
        <v>1</v>
      </c>
      <c r="D260" s="483">
        <v>2</v>
      </c>
      <c r="E260" s="482">
        <v>3</v>
      </c>
      <c r="F260" s="483">
        <v>4</v>
      </c>
      <c r="G260" s="482">
        <v>5</v>
      </c>
      <c r="H260" s="483">
        <v>6</v>
      </c>
      <c r="I260" s="482">
        <v>7</v>
      </c>
      <c r="J260" s="483">
        <v>8</v>
      </c>
      <c r="K260" s="482">
        <v>9</v>
      </c>
      <c r="L260" s="483">
        <v>10</v>
      </c>
      <c r="M260" s="484" t="s">
        <v>503</v>
      </c>
      <c r="N260" s="485" t="s">
        <v>506</v>
      </c>
      <c r="O260" s="485" t="s">
        <v>504</v>
      </c>
      <c r="P260" s="485" t="s">
        <v>505</v>
      </c>
    </row>
    <row r="261" spans="1:16" ht="24.75" customHeight="1" hidden="1">
      <c r="A261" s="426" t="s">
        <v>0</v>
      </c>
      <c r="B261" s="427" t="s">
        <v>131</v>
      </c>
      <c r="C261" s="404">
        <f>C262+C263</f>
        <v>14401463.6</v>
      </c>
      <c r="D261" s="404">
        <f aca="true" t="shared" si="57" ref="D261:L261">D262+D263</f>
        <v>614882.6</v>
      </c>
      <c r="E261" s="404">
        <f t="shared" si="57"/>
        <v>234185.6</v>
      </c>
      <c r="F261" s="404">
        <f t="shared" si="57"/>
        <v>0</v>
      </c>
      <c r="G261" s="404">
        <f t="shared" si="57"/>
        <v>184987</v>
      </c>
      <c r="H261" s="404">
        <f t="shared" si="57"/>
        <v>34168</v>
      </c>
      <c r="I261" s="404">
        <f t="shared" si="57"/>
        <v>10894</v>
      </c>
      <c r="J261" s="404">
        <f t="shared" si="57"/>
        <v>150648</v>
      </c>
      <c r="K261" s="404">
        <f t="shared" si="57"/>
        <v>13573329</v>
      </c>
      <c r="L261" s="404">
        <f t="shared" si="57"/>
        <v>213252</v>
      </c>
      <c r="M261" s="404" t="e">
        <f>'03'!#REF!+'04'!#REF!</f>
        <v>#REF!</v>
      </c>
      <c r="N261" s="404" t="e">
        <f>C261-M261</f>
        <v>#REF!</v>
      </c>
      <c r="O261" s="404" t="e">
        <f>'07'!#REF!</f>
        <v>#REF!</v>
      </c>
      <c r="P261" s="404" t="e">
        <f>C261-O261</f>
        <v>#REF!</v>
      </c>
    </row>
    <row r="262" spans="1:16" ht="24.75" customHeight="1" hidden="1">
      <c r="A262" s="429">
        <v>1</v>
      </c>
      <c r="B262" s="430"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58" ref="N262:N276">C262-M262</f>
        <v>#REF!</v>
      </c>
      <c r="O262" s="409" t="e">
        <f>'07'!#REF!</f>
        <v>#REF!</v>
      </c>
      <c r="P262" s="409" t="e">
        <f aca="true" t="shared" si="59" ref="P262:P276">C262-O262</f>
        <v>#REF!</v>
      </c>
    </row>
    <row r="263" spans="1:16" ht="24.75" customHeight="1" hidden="1">
      <c r="A263" s="429">
        <v>2</v>
      </c>
      <c r="B263" s="430"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58"/>
        <v>#REF!</v>
      </c>
      <c r="O263" s="409" t="e">
        <f>'07'!#REF!</f>
        <v>#REF!</v>
      </c>
      <c r="P263" s="409" t="e">
        <f t="shared" si="59"/>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58"/>
        <v>#REF!</v>
      </c>
      <c r="O264" s="409" t="e">
        <f>'07'!#REF!</f>
        <v>#REF!</v>
      </c>
      <c r="P264" s="409" t="e">
        <f t="shared" si="59"/>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8"/>
        <v>#REF!</v>
      </c>
      <c r="O265" s="409" t="e">
        <f>'07'!#REF!</f>
        <v>#REF!</v>
      </c>
      <c r="P265" s="409" t="e">
        <f t="shared" si="59"/>
        <v>#REF!</v>
      </c>
    </row>
    <row r="266" spans="1:16" ht="24.75" customHeight="1" hidden="1">
      <c r="A266" s="394" t="s">
        <v>136</v>
      </c>
      <c r="B266" s="395" t="s">
        <v>137</v>
      </c>
      <c r="C266" s="404">
        <f>C267+C276</f>
        <v>14401463.6</v>
      </c>
      <c r="D266" s="404">
        <f aca="true" t="shared" si="60" ref="D266:L266">D267+D276</f>
        <v>614882.6</v>
      </c>
      <c r="E266" s="404">
        <f t="shared" si="60"/>
        <v>234185.6</v>
      </c>
      <c r="F266" s="404">
        <f t="shared" si="60"/>
        <v>0</v>
      </c>
      <c r="G266" s="404">
        <f t="shared" si="60"/>
        <v>184987</v>
      </c>
      <c r="H266" s="404">
        <f t="shared" si="60"/>
        <v>34168</v>
      </c>
      <c r="I266" s="404">
        <f t="shared" si="60"/>
        <v>10894</v>
      </c>
      <c r="J266" s="404">
        <f t="shared" si="60"/>
        <v>150648</v>
      </c>
      <c r="K266" s="404">
        <f t="shared" si="60"/>
        <v>13573329</v>
      </c>
      <c r="L266" s="404">
        <f t="shared" si="60"/>
        <v>213252</v>
      </c>
      <c r="M266" s="404" t="e">
        <f>'03'!#REF!+'04'!#REF!</f>
        <v>#REF!</v>
      </c>
      <c r="N266" s="404" t="e">
        <f t="shared" si="58"/>
        <v>#REF!</v>
      </c>
      <c r="O266" s="404" t="e">
        <f>'07'!#REF!</f>
        <v>#REF!</v>
      </c>
      <c r="P266" s="404" t="e">
        <f t="shared" si="59"/>
        <v>#REF!</v>
      </c>
    </row>
    <row r="267" spans="1:16" ht="24.75" customHeight="1" hidden="1">
      <c r="A267" s="394" t="s">
        <v>52</v>
      </c>
      <c r="B267" s="431" t="s">
        <v>138</v>
      </c>
      <c r="C267" s="404">
        <f>SUM(C268:C275)</f>
        <v>14089737</v>
      </c>
      <c r="D267" s="404">
        <f aca="true" t="shared" si="61" ref="D267:L267">SUM(D268:D275)</f>
        <v>303156</v>
      </c>
      <c r="E267" s="404">
        <f t="shared" si="61"/>
        <v>125434</v>
      </c>
      <c r="F267" s="404">
        <f t="shared" si="61"/>
        <v>0</v>
      </c>
      <c r="G267" s="404">
        <f t="shared" si="61"/>
        <v>3000</v>
      </c>
      <c r="H267" s="404">
        <f t="shared" si="61"/>
        <v>19070</v>
      </c>
      <c r="I267" s="404">
        <f t="shared" si="61"/>
        <v>5004</v>
      </c>
      <c r="J267" s="404">
        <f t="shared" si="61"/>
        <v>150648</v>
      </c>
      <c r="K267" s="404">
        <f t="shared" si="61"/>
        <v>13573329</v>
      </c>
      <c r="L267" s="404">
        <f t="shared" si="61"/>
        <v>213252</v>
      </c>
      <c r="M267" s="404" t="e">
        <f>'03'!#REF!+'04'!#REF!</f>
        <v>#REF!</v>
      </c>
      <c r="N267" s="404" t="e">
        <f t="shared" si="58"/>
        <v>#REF!</v>
      </c>
      <c r="O267" s="404" t="e">
        <f>'07'!#REF!</f>
        <v>#REF!</v>
      </c>
      <c r="P267" s="404" t="e">
        <f t="shared" si="59"/>
        <v>#REF!</v>
      </c>
    </row>
    <row r="268" spans="1:16" ht="24.75" customHeight="1" hidden="1">
      <c r="A268" s="429" t="s">
        <v>54</v>
      </c>
      <c r="B268" s="430" t="s">
        <v>139</v>
      </c>
      <c r="C268" s="404">
        <f aca="true" t="shared" si="62" ref="C268:C276">D268+K268+L268</f>
        <v>185401</v>
      </c>
      <c r="D268" s="404">
        <f aca="true" t="shared" si="63"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58"/>
        <v>#REF!</v>
      </c>
      <c r="O268" s="409" t="e">
        <f>'07'!#REF!</f>
        <v>#REF!</v>
      </c>
      <c r="P268" s="409" t="e">
        <f t="shared" si="59"/>
        <v>#REF!</v>
      </c>
    </row>
    <row r="269" spans="1:16" ht="24.75" customHeight="1" hidden="1">
      <c r="A269" s="429" t="s">
        <v>55</v>
      </c>
      <c r="B269" s="430" t="s">
        <v>140</v>
      </c>
      <c r="C269" s="404">
        <f t="shared" si="62"/>
        <v>0</v>
      </c>
      <c r="D269" s="404">
        <f>E269+F269+G269+H269+I269+J269</f>
        <v>0</v>
      </c>
      <c r="E269" s="409">
        <v>0</v>
      </c>
      <c r="F269" s="409">
        <v>0</v>
      </c>
      <c r="G269" s="409">
        <v>0</v>
      </c>
      <c r="H269" s="409">
        <v>0</v>
      </c>
      <c r="I269" s="409">
        <v>0</v>
      </c>
      <c r="J269" s="409">
        <v>0</v>
      </c>
      <c r="K269" s="409">
        <v>0</v>
      </c>
      <c r="L269" s="409">
        <v>0</v>
      </c>
      <c r="M269" s="409" t="e">
        <f>'03'!#REF!+'04'!#REF!</f>
        <v>#REF!</v>
      </c>
      <c r="N269" s="409" t="e">
        <f t="shared" si="58"/>
        <v>#REF!</v>
      </c>
      <c r="O269" s="409" t="e">
        <f>'07'!#REF!</f>
        <v>#REF!</v>
      </c>
      <c r="P269" s="409" t="e">
        <f t="shared" si="59"/>
        <v>#REF!</v>
      </c>
    </row>
    <row r="270" spans="1:16" ht="24.75" customHeight="1" hidden="1">
      <c r="A270" s="429" t="s">
        <v>141</v>
      </c>
      <c r="B270" s="430" t="s">
        <v>202</v>
      </c>
      <c r="C270" s="404">
        <f t="shared" si="62"/>
        <v>0</v>
      </c>
      <c r="D270" s="404">
        <f t="shared" si="63"/>
        <v>0</v>
      </c>
      <c r="E270" s="409">
        <v>0</v>
      </c>
      <c r="F270" s="409">
        <v>0</v>
      </c>
      <c r="G270" s="409">
        <v>0</v>
      </c>
      <c r="H270" s="409">
        <v>0</v>
      </c>
      <c r="I270" s="409">
        <v>0</v>
      </c>
      <c r="J270" s="409">
        <v>0</v>
      </c>
      <c r="K270" s="409">
        <v>0</v>
      </c>
      <c r="L270" s="409">
        <v>0</v>
      </c>
      <c r="M270" s="409" t="e">
        <f>'03'!#REF!</f>
        <v>#REF!</v>
      </c>
      <c r="N270" s="409" t="e">
        <f t="shared" si="58"/>
        <v>#REF!</v>
      </c>
      <c r="O270" s="409" t="e">
        <f>'07'!#REF!</f>
        <v>#REF!</v>
      </c>
      <c r="P270" s="409" t="e">
        <f t="shared" si="59"/>
        <v>#REF!</v>
      </c>
    </row>
    <row r="271" spans="1:16" ht="24.75" customHeight="1" hidden="1">
      <c r="A271" s="429" t="s">
        <v>143</v>
      </c>
      <c r="B271" s="430" t="s">
        <v>142</v>
      </c>
      <c r="C271" s="404">
        <f t="shared" si="62"/>
        <v>13859195</v>
      </c>
      <c r="D271" s="404">
        <f t="shared" si="63"/>
        <v>161156</v>
      </c>
      <c r="E271" s="409">
        <v>115432</v>
      </c>
      <c r="F271" s="409">
        <v>0</v>
      </c>
      <c r="G271" s="409">
        <v>3000</v>
      </c>
      <c r="H271" s="409">
        <v>17570</v>
      </c>
      <c r="I271" s="409">
        <v>0</v>
      </c>
      <c r="J271" s="409">
        <v>25154</v>
      </c>
      <c r="K271" s="409">
        <v>13538329</v>
      </c>
      <c r="L271" s="409">
        <v>159710</v>
      </c>
      <c r="M271" s="409" t="e">
        <f>'03'!#REF!+'04'!#REF!</f>
        <v>#REF!</v>
      </c>
      <c r="N271" s="409" t="e">
        <f t="shared" si="58"/>
        <v>#REF!</v>
      </c>
      <c r="O271" s="409" t="e">
        <f>'07'!#REF!</f>
        <v>#REF!</v>
      </c>
      <c r="P271" s="409" t="e">
        <f t="shared" si="59"/>
        <v>#REF!</v>
      </c>
    </row>
    <row r="272" spans="1:16" ht="24.75" customHeight="1" hidden="1">
      <c r="A272" s="429" t="s">
        <v>145</v>
      </c>
      <c r="B272" s="430" t="s">
        <v>144</v>
      </c>
      <c r="C272" s="404">
        <f t="shared" si="62"/>
        <v>0</v>
      </c>
      <c r="D272" s="404">
        <f t="shared" si="63"/>
        <v>0</v>
      </c>
      <c r="E272" s="409">
        <v>0</v>
      </c>
      <c r="F272" s="409">
        <v>0</v>
      </c>
      <c r="G272" s="409">
        <v>0</v>
      </c>
      <c r="H272" s="409">
        <v>0</v>
      </c>
      <c r="I272" s="409">
        <v>0</v>
      </c>
      <c r="J272" s="409">
        <v>0</v>
      </c>
      <c r="K272" s="409">
        <v>0</v>
      </c>
      <c r="L272" s="409">
        <v>0</v>
      </c>
      <c r="M272" s="409" t="e">
        <f>'03'!#REF!+'04'!#REF!</f>
        <v>#REF!</v>
      </c>
      <c r="N272" s="409" t="e">
        <f t="shared" si="58"/>
        <v>#REF!</v>
      </c>
      <c r="O272" s="409" t="e">
        <f>'07'!#REF!</f>
        <v>#REF!</v>
      </c>
      <c r="P272" s="409" t="e">
        <f t="shared" si="59"/>
        <v>#REF!</v>
      </c>
    </row>
    <row r="273" spans="1:16" ht="24.75" customHeight="1" hidden="1">
      <c r="A273" s="429" t="s">
        <v>147</v>
      </c>
      <c r="B273" s="430" t="s">
        <v>146</v>
      </c>
      <c r="C273" s="404">
        <f t="shared" si="62"/>
        <v>0</v>
      </c>
      <c r="D273" s="404">
        <f t="shared" si="63"/>
        <v>0</v>
      </c>
      <c r="E273" s="409">
        <v>0</v>
      </c>
      <c r="F273" s="409">
        <v>0</v>
      </c>
      <c r="G273" s="409">
        <v>0</v>
      </c>
      <c r="H273" s="409">
        <v>0</v>
      </c>
      <c r="I273" s="409">
        <v>0</v>
      </c>
      <c r="J273" s="409">
        <v>0</v>
      </c>
      <c r="K273" s="409">
        <v>0</v>
      </c>
      <c r="L273" s="409">
        <v>0</v>
      </c>
      <c r="M273" s="409" t="e">
        <f>'03'!#REF!+'04'!#REF!</f>
        <v>#REF!</v>
      </c>
      <c r="N273" s="409" t="e">
        <f t="shared" si="58"/>
        <v>#REF!</v>
      </c>
      <c r="O273" s="409" t="e">
        <f>'07'!#REF!</f>
        <v>#REF!</v>
      </c>
      <c r="P273" s="409" t="e">
        <f t="shared" si="59"/>
        <v>#REF!</v>
      </c>
    </row>
    <row r="274" spans="1:16" ht="24.75" customHeight="1" hidden="1">
      <c r="A274" s="429" t="s">
        <v>149</v>
      </c>
      <c r="B274" s="432" t="s">
        <v>148</v>
      </c>
      <c r="C274" s="404">
        <f t="shared" si="62"/>
        <v>0</v>
      </c>
      <c r="D274" s="404">
        <f t="shared" si="63"/>
        <v>0</v>
      </c>
      <c r="E274" s="409">
        <v>0</v>
      </c>
      <c r="F274" s="409">
        <v>0</v>
      </c>
      <c r="G274" s="409">
        <v>0</v>
      </c>
      <c r="H274" s="409">
        <v>0</v>
      </c>
      <c r="I274" s="409">
        <v>0</v>
      </c>
      <c r="J274" s="409">
        <v>0</v>
      </c>
      <c r="K274" s="409">
        <v>0</v>
      </c>
      <c r="L274" s="409">
        <v>0</v>
      </c>
      <c r="M274" s="409" t="e">
        <f>'03'!#REF!+'04'!#REF!</f>
        <v>#REF!</v>
      </c>
      <c r="N274" s="409" t="e">
        <f t="shared" si="58"/>
        <v>#REF!</v>
      </c>
      <c r="O274" s="409" t="e">
        <f>'07'!#REF!</f>
        <v>#REF!</v>
      </c>
      <c r="P274" s="409" t="e">
        <f t="shared" si="59"/>
        <v>#REF!</v>
      </c>
    </row>
    <row r="275" spans="1:16" ht="24.75" customHeight="1" hidden="1">
      <c r="A275" s="429" t="s">
        <v>186</v>
      </c>
      <c r="B275" s="430" t="s">
        <v>150</v>
      </c>
      <c r="C275" s="404">
        <f t="shared" si="62"/>
        <v>45141</v>
      </c>
      <c r="D275" s="404">
        <f t="shared" si="63"/>
        <v>0</v>
      </c>
      <c r="E275" s="409">
        <v>0</v>
      </c>
      <c r="F275" s="409">
        <v>0</v>
      </c>
      <c r="G275" s="409">
        <v>0</v>
      </c>
      <c r="H275" s="409">
        <v>0</v>
      </c>
      <c r="I275" s="409">
        <v>0</v>
      </c>
      <c r="J275" s="409">
        <v>0</v>
      </c>
      <c r="K275" s="409">
        <v>0</v>
      </c>
      <c r="L275" s="409">
        <v>45141</v>
      </c>
      <c r="M275" s="409" t="e">
        <f>'03'!#REF!+'04'!#REF!</f>
        <v>#REF!</v>
      </c>
      <c r="N275" s="409" t="e">
        <f t="shared" si="58"/>
        <v>#REF!</v>
      </c>
      <c r="O275" s="409" t="e">
        <f>'07'!#REF!</f>
        <v>#REF!</v>
      </c>
      <c r="P275" s="409" t="e">
        <f t="shared" si="59"/>
        <v>#REF!</v>
      </c>
    </row>
    <row r="276" spans="1:16" ht="24.75" customHeight="1" hidden="1">
      <c r="A276" s="394" t="s">
        <v>53</v>
      </c>
      <c r="B276" s="395" t="s">
        <v>151</v>
      </c>
      <c r="C276" s="404">
        <f t="shared" si="62"/>
        <v>311726.6</v>
      </c>
      <c r="D276" s="404">
        <f t="shared" si="63"/>
        <v>311726.6</v>
      </c>
      <c r="E276" s="409">
        <v>108751.6</v>
      </c>
      <c r="F276" s="409">
        <v>0</v>
      </c>
      <c r="G276" s="409">
        <v>181987</v>
      </c>
      <c r="H276" s="409">
        <v>15098</v>
      </c>
      <c r="I276" s="409">
        <v>5890</v>
      </c>
      <c r="J276" s="409">
        <v>0</v>
      </c>
      <c r="K276" s="409">
        <v>0</v>
      </c>
      <c r="L276" s="409">
        <v>0</v>
      </c>
      <c r="M276" s="404" t="e">
        <f>'03'!#REF!+'04'!#REF!</f>
        <v>#REF!</v>
      </c>
      <c r="N276" s="404" t="e">
        <f t="shared" si="58"/>
        <v>#REF!</v>
      </c>
      <c r="O276" s="404" t="e">
        <f>'07'!#REF!</f>
        <v>#REF!</v>
      </c>
      <c r="P276" s="404" t="e">
        <f t="shared" si="59"/>
        <v>#REF!</v>
      </c>
    </row>
    <row r="277" spans="1:16" ht="24.75" customHeight="1" hidden="1">
      <c r="A277" s="461" t="s">
        <v>76</v>
      </c>
      <c r="B277" s="489" t="s">
        <v>215</v>
      </c>
      <c r="C277" s="473">
        <f>(C268+C269+C270)/C267</f>
        <v>0.013158584862158889</v>
      </c>
      <c r="D277" s="396">
        <f aca="true" t="shared" si="64" ref="D277:L277">(D268+D269+D270)/D267</f>
        <v>0.468405705313436</v>
      </c>
      <c r="E277" s="412">
        <f t="shared" si="64"/>
        <v>0.0797391456861776</v>
      </c>
      <c r="F277" s="412" t="e">
        <f t="shared" si="64"/>
        <v>#DIV/0!</v>
      </c>
      <c r="G277" s="412">
        <f t="shared" si="64"/>
        <v>0</v>
      </c>
      <c r="H277" s="412">
        <f t="shared" si="64"/>
        <v>0.07865757734661773</v>
      </c>
      <c r="I277" s="412">
        <f t="shared" si="64"/>
        <v>1</v>
      </c>
      <c r="J277" s="412">
        <f t="shared" si="64"/>
        <v>0.8330279857681483</v>
      </c>
      <c r="K277" s="412">
        <f t="shared" si="64"/>
        <v>0.002578586284912124</v>
      </c>
      <c r="L277" s="412">
        <f t="shared" si="64"/>
        <v>0.03939470673194155</v>
      </c>
      <c r="M277" s="423"/>
      <c r="N277" s="490"/>
      <c r="O277" s="490"/>
      <c r="P277" s="490"/>
    </row>
    <row r="278" spans="1:16" ht="17.25" hidden="1">
      <c r="A278" s="1288" t="s">
        <v>500</v>
      </c>
      <c r="B278" s="1288"/>
      <c r="C278" s="409">
        <f>C261-C264-C265-C266</f>
        <v>0</v>
      </c>
      <c r="D278" s="409">
        <f aca="true" t="shared" si="65" ref="D278:L278">D261-D264-D265-D266</f>
        <v>0</v>
      </c>
      <c r="E278" s="409">
        <f t="shared" si="65"/>
        <v>0</v>
      </c>
      <c r="F278" s="409">
        <f t="shared" si="65"/>
        <v>0</v>
      </c>
      <c r="G278" s="409">
        <f t="shared" si="65"/>
        <v>0</v>
      </c>
      <c r="H278" s="409">
        <f t="shared" si="65"/>
        <v>0</v>
      </c>
      <c r="I278" s="409">
        <f t="shared" si="65"/>
        <v>0</v>
      </c>
      <c r="J278" s="409">
        <f t="shared" si="65"/>
        <v>0</v>
      </c>
      <c r="K278" s="409">
        <f t="shared" si="65"/>
        <v>0</v>
      </c>
      <c r="L278" s="409">
        <f t="shared" si="65"/>
        <v>0</v>
      </c>
      <c r="M278" s="423"/>
      <c r="N278" s="490"/>
      <c r="O278" s="490"/>
      <c r="P278" s="490"/>
    </row>
    <row r="279" spans="1:16" ht="17.25" hidden="1">
      <c r="A279" s="1283" t="s">
        <v>501</v>
      </c>
      <c r="B279" s="1283"/>
      <c r="C279" s="409">
        <f>C266-C267-C276</f>
        <v>0</v>
      </c>
      <c r="D279" s="409">
        <f aca="true" t="shared" si="66" ref="D279:L279">D266-D267-D276</f>
        <v>0</v>
      </c>
      <c r="E279" s="409">
        <f t="shared" si="66"/>
        <v>0</v>
      </c>
      <c r="F279" s="409">
        <f t="shared" si="66"/>
        <v>0</v>
      </c>
      <c r="G279" s="409">
        <f t="shared" si="66"/>
        <v>0</v>
      </c>
      <c r="H279" s="409">
        <f t="shared" si="66"/>
        <v>0</v>
      </c>
      <c r="I279" s="409">
        <f t="shared" si="66"/>
        <v>0</v>
      </c>
      <c r="J279" s="409">
        <f t="shared" si="66"/>
        <v>0</v>
      </c>
      <c r="K279" s="409">
        <f t="shared" si="66"/>
        <v>0</v>
      </c>
      <c r="L279" s="409">
        <f t="shared" si="66"/>
        <v>0</v>
      </c>
      <c r="M279" s="423"/>
      <c r="N279" s="490"/>
      <c r="O279" s="490"/>
      <c r="P279" s="490"/>
    </row>
    <row r="280" spans="1:16" ht="18.75" hidden="1">
      <c r="A280" s="475"/>
      <c r="B280" s="491" t="s">
        <v>520</v>
      </c>
      <c r="C280" s="491"/>
      <c r="D280" s="464"/>
      <c r="E280" s="464"/>
      <c r="F280" s="464"/>
      <c r="G280" s="1280" t="s">
        <v>520</v>
      </c>
      <c r="H280" s="1280"/>
      <c r="I280" s="1280"/>
      <c r="J280" s="1280"/>
      <c r="K280" s="1280"/>
      <c r="L280" s="1280"/>
      <c r="M280" s="478"/>
      <c r="N280" s="478"/>
      <c r="O280" s="478"/>
      <c r="P280" s="478"/>
    </row>
    <row r="281" spans="1:16" ht="18.75" hidden="1">
      <c r="A281" s="1281" t="s">
        <v>4</v>
      </c>
      <c r="B281" s="1281"/>
      <c r="C281" s="1281"/>
      <c r="D281" s="1281"/>
      <c r="E281" s="464"/>
      <c r="F281" s="464"/>
      <c r="G281" s="492"/>
      <c r="H281" s="1282" t="s">
        <v>521</v>
      </c>
      <c r="I281" s="1282"/>
      <c r="J281" s="1282"/>
      <c r="K281" s="1282"/>
      <c r="L281" s="1282"/>
      <c r="M281" s="478"/>
      <c r="N281" s="478"/>
      <c r="O281" s="478"/>
      <c r="P281" s="478"/>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301" t="s">
        <v>33</v>
      </c>
      <c r="B293" s="1302"/>
      <c r="C293" s="474"/>
      <c r="D293" s="1303" t="s">
        <v>79</v>
      </c>
      <c r="E293" s="1303"/>
      <c r="F293" s="1303"/>
      <c r="G293" s="1303"/>
      <c r="H293" s="1303"/>
      <c r="I293" s="1303"/>
      <c r="J293" s="1303"/>
      <c r="K293" s="1294"/>
      <c r="L293" s="1294"/>
      <c r="M293" s="478"/>
    </row>
    <row r="294" spans="1:13" ht="16.5" hidden="1">
      <c r="A294" s="1270" t="s">
        <v>344</v>
      </c>
      <c r="B294" s="1270"/>
      <c r="C294" s="1270"/>
      <c r="D294" s="1303" t="s">
        <v>216</v>
      </c>
      <c r="E294" s="1303"/>
      <c r="F294" s="1303"/>
      <c r="G294" s="1303"/>
      <c r="H294" s="1303"/>
      <c r="I294" s="1303"/>
      <c r="J294" s="1303"/>
      <c r="K294" s="1299" t="s">
        <v>513</v>
      </c>
      <c r="L294" s="1299"/>
      <c r="M294" s="475"/>
    </row>
    <row r="295" spans="1:13" ht="16.5" hidden="1">
      <c r="A295" s="1270" t="s">
        <v>345</v>
      </c>
      <c r="B295" s="1270"/>
      <c r="C295" s="413"/>
      <c r="D295" s="1293" t="s">
        <v>11</v>
      </c>
      <c r="E295" s="1293"/>
      <c r="F295" s="1293"/>
      <c r="G295" s="1293"/>
      <c r="H295" s="1293"/>
      <c r="I295" s="1293"/>
      <c r="J295" s="1293"/>
      <c r="K295" s="1294"/>
      <c r="L295" s="1294"/>
      <c r="M295" s="478"/>
    </row>
    <row r="296" spans="1:13" ht="15.75" hidden="1">
      <c r="A296" s="434" t="s">
        <v>119</v>
      </c>
      <c r="B296" s="434"/>
      <c r="C296" s="419"/>
      <c r="D296" s="479"/>
      <c r="E296" s="479"/>
      <c r="F296" s="480"/>
      <c r="G296" s="480"/>
      <c r="H296" s="480"/>
      <c r="I296" s="480"/>
      <c r="J296" s="480"/>
      <c r="K296" s="1289"/>
      <c r="L296" s="1289"/>
      <c r="M296" s="475"/>
    </row>
    <row r="297" spans="1:13" ht="15.75" hidden="1">
      <c r="A297" s="479"/>
      <c r="B297" s="479" t="s">
        <v>94</v>
      </c>
      <c r="C297" s="479"/>
      <c r="D297" s="479"/>
      <c r="E297" s="479"/>
      <c r="F297" s="479"/>
      <c r="G297" s="479"/>
      <c r="H297" s="479"/>
      <c r="I297" s="479"/>
      <c r="J297" s="479"/>
      <c r="K297" s="1300"/>
      <c r="L297" s="1300"/>
      <c r="M297" s="475"/>
    </row>
    <row r="298" spans="1:13" ht="15.75" hidden="1">
      <c r="A298" s="932" t="s">
        <v>71</v>
      </c>
      <c r="B298" s="933"/>
      <c r="C298" s="1284" t="s">
        <v>38</v>
      </c>
      <c r="D298" s="1309" t="s">
        <v>339</v>
      </c>
      <c r="E298" s="1309"/>
      <c r="F298" s="1309"/>
      <c r="G298" s="1309"/>
      <c r="H298" s="1309"/>
      <c r="I298" s="1309"/>
      <c r="J298" s="1309"/>
      <c r="K298" s="1309"/>
      <c r="L298" s="1309"/>
      <c r="M298" s="478"/>
    </row>
    <row r="299" spans="1:13" ht="15.75" hidden="1">
      <c r="A299" s="934"/>
      <c r="B299" s="935"/>
      <c r="C299" s="1284"/>
      <c r="D299" s="1310" t="s">
        <v>207</v>
      </c>
      <c r="E299" s="1311"/>
      <c r="F299" s="1311"/>
      <c r="G299" s="1311"/>
      <c r="H299" s="1311"/>
      <c r="I299" s="1311"/>
      <c r="J299" s="1312"/>
      <c r="K299" s="1290" t="s">
        <v>208</v>
      </c>
      <c r="L299" s="1290" t="s">
        <v>209</v>
      </c>
      <c r="M299" s="475"/>
    </row>
    <row r="300" spans="1:13" ht="15.75" hidden="1">
      <c r="A300" s="934"/>
      <c r="B300" s="935"/>
      <c r="C300" s="1284"/>
      <c r="D300" s="1285" t="s">
        <v>37</v>
      </c>
      <c r="E300" s="1306" t="s">
        <v>7</v>
      </c>
      <c r="F300" s="1307"/>
      <c r="G300" s="1307"/>
      <c r="H300" s="1307"/>
      <c r="I300" s="1307"/>
      <c r="J300" s="1308"/>
      <c r="K300" s="1297"/>
      <c r="L300" s="1291"/>
      <c r="M300" s="475"/>
    </row>
    <row r="301" spans="1:16" ht="15.75" hidden="1">
      <c r="A301" s="1295"/>
      <c r="B301" s="1296"/>
      <c r="C301" s="1284"/>
      <c r="D301" s="1285"/>
      <c r="E301" s="481" t="s">
        <v>210</v>
      </c>
      <c r="F301" s="481" t="s">
        <v>211</v>
      </c>
      <c r="G301" s="481" t="s">
        <v>212</v>
      </c>
      <c r="H301" s="481" t="s">
        <v>213</v>
      </c>
      <c r="I301" s="481" t="s">
        <v>346</v>
      </c>
      <c r="J301" s="481" t="s">
        <v>214</v>
      </c>
      <c r="K301" s="1298"/>
      <c r="L301" s="1292"/>
      <c r="M301" s="1305" t="s">
        <v>502</v>
      </c>
      <c r="N301" s="1305"/>
      <c r="O301" s="1305"/>
      <c r="P301" s="1305"/>
    </row>
    <row r="302" spans="1:16" ht="15" hidden="1">
      <c r="A302" s="1286" t="s">
        <v>6</v>
      </c>
      <c r="B302" s="1287"/>
      <c r="C302" s="482">
        <v>1</v>
      </c>
      <c r="D302" s="483">
        <v>2</v>
      </c>
      <c r="E302" s="482">
        <v>3</v>
      </c>
      <c r="F302" s="483">
        <v>4</v>
      </c>
      <c r="G302" s="482">
        <v>5</v>
      </c>
      <c r="H302" s="483">
        <v>6</v>
      </c>
      <c r="I302" s="482">
        <v>7</v>
      </c>
      <c r="J302" s="483">
        <v>8</v>
      </c>
      <c r="K302" s="482">
        <v>9</v>
      </c>
      <c r="L302" s="483">
        <v>10</v>
      </c>
      <c r="M302" s="484" t="s">
        <v>503</v>
      </c>
      <c r="N302" s="485" t="s">
        <v>506</v>
      </c>
      <c r="O302" s="485" t="s">
        <v>504</v>
      </c>
      <c r="P302" s="485" t="s">
        <v>505</v>
      </c>
    </row>
    <row r="303" spans="1:16" ht="24.75" customHeight="1" hidden="1">
      <c r="A303" s="426" t="s">
        <v>0</v>
      </c>
      <c r="B303" s="427" t="s">
        <v>131</v>
      </c>
      <c r="C303" s="404">
        <f>C304+C305</f>
        <v>394761</v>
      </c>
      <c r="D303" s="404">
        <f aca="true" t="shared" si="67" ref="D303:L303">D304+D305</f>
        <v>89648</v>
      </c>
      <c r="E303" s="404">
        <f t="shared" si="67"/>
        <v>48513</v>
      </c>
      <c r="F303" s="404">
        <f t="shared" si="67"/>
        <v>0</v>
      </c>
      <c r="G303" s="404">
        <f t="shared" si="67"/>
        <v>34900</v>
      </c>
      <c r="H303" s="404">
        <f t="shared" si="67"/>
        <v>200</v>
      </c>
      <c r="I303" s="404">
        <f t="shared" si="67"/>
        <v>0</v>
      </c>
      <c r="J303" s="404">
        <f t="shared" si="67"/>
        <v>6035</v>
      </c>
      <c r="K303" s="404">
        <f t="shared" si="67"/>
        <v>0</v>
      </c>
      <c r="L303" s="404">
        <f t="shared" si="67"/>
        <v>305113</v>
      </c>
      <c r="M303" s="404" t="e">
        <f>'03'!#REF!+'04'!#REF!</f>
        <v>#REF!</v>
      </c>
      <c r="N303" s="404" t="e">
        <f>C303-M303</f>
        <v>#REF!</v>
      </c>
      <c r="O303" s="404" t="e">
        <f>'07'!#REF!</f>
        <v>#REF!</v>
      </c>
      <c r="P303" s="404" t="e">
        <f>C303-O303</f>
        <v>#REF!</v>
      </c>
    </row>
    <row r="304" spans="1:16" ht="24.75" customHeight="1" hidden="1">
      <c r="A304" s="429">
        <v>1</v>
      </c>
      <c r="B304" s="430"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68" ref="N304:N318">C304-M304</f>
        <v>#REF!</v>
      </c>
      <c r="O304" s="409" t="e">
        <f>'07'!#REF!</f>
        <v>#REF!</v>
      </c>
      <c r="P304" s="409" t="e">
        <f aca="true" t="shared" si="69" ref="P304:P318">C304-O304</f>
        <v>#REF!</v>
      </c>
    </row>
    <row r="305" spans="1:16" ht="24.75" customHeight="1" hidden="1">
      <c r="A305" s="429">
        <v>2</v>
      </c>
      <c r="B305" s="430"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68"/>
        <v>#REF!</v>
      </c>
      <c r="O305" s="409" t="e">
        <f>'07'!#REF!</f>
        <v>#REF!</v>
      </c>
      <c r="P305" s="409" t="e">
        <f t="shared" si="69"/>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68"/>
        <v>#REF!</v>
      </c>
      <c r="O306" s="409" t="e">
        <f>'07'!#REF!</f>
        <v>#REF!</v>
      </c>
      <c r="P306" s="409" t="e">
        <f t="shared" si="69"/>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8"/>
        <v>#REF!</v>
      </c>
      <c r="O307" s="409" t="e">
        <f>'07'!#REF!</f>
        <v>#REF!</v>
      </c>
      <c r="P307" s="409" t="e">
        <f t="shared" si="69"/>
        <v>#REF!</v>
      </c>
    </row>
    <row r="308" spans="1:16" ht="24.75" customHeight="1" hidden="1">
      <c r="A308" s="394" t="s">
        <v>136</v>
      </c>
      <c r="B308" s="395" t="s">
        <v>137</v>
      </c>
      <c r="C308" s="404">
        <f>C309+C318</f>
        <v>394761</v>
      </c>
      <c r="D308" s="404">
        <f aca="true" t="shared" si="70" ref="D308:L308">D309+D318</f>
        <v>89648</v>
      </c>
      <c r="E308" s="404">
        <f t="shared" si="70"/>
        <v>48513</v>
      </c>
      <c r="F308" s="404">
        <f t="shared" si="70"/>
        <v>0</v>
      </c>
      <c r="G308" s="404">
        <f t="shared" si="70"/>
        <v>34900</v>
      </c>
      <c r="H308" s="404">
        <f t="shared" si="70"/>
        <v>200</v>
      </c>
      <c r="I308" s="404">
        <f t="shared" si="70"/>
        <v>0</v>
      </c>
      <c r="J308" s="404">
        <f t="shared" si="70"/>
        <v>6035</v>
      </c>
      <c r="K308" s="404">
        <f t="shared" si="70"/>
        <v>0</v>
      </c>
      <c r="L308" s="404">
        <f t="shared" si="70"/>
        <v>305113</v>
      </c>
      <c r="M308" s="404" t="e">
        <f>'03'!#REF!+'04'!#REF!</f>
        <v>#REF!</v>
      </c>
      <c r="N308" s="404" t="e">
        <f t="shared" si="68"/>
        <v>#REF!</v>
      </c>
      <c r="O308" s="404" t="e">
        <f>'07'!#REF!</f>
        <v>#REF!</v>
      </c>
      <c r="P308" s="404" t="e">
        <f t="shared" si="69"/>
        <v>#REF!</v>
      </c>
    </row>
    <row r="309" spans="1:16" ht="24.75" customHeight="1" hidden="1">
      <c r="A309" s="394" t="s">
        <v>52</v>
      </c>
      <c r="B309" s="431" t="s">
        <v>138</v>
      </c>
      <c r="C309" s="404">
        <f>SUM(C310:C317)</f>
        <v>346419</v>
      </c>
      <c r="D309" s="404">
        <f aca="true" t="shared" si="71" ref="D309:L309">SUM(D310:D317)</f>
        <v>41306</v>
      </c>
      <c r="E309" s="404">
        <f t="shared" si="71"/>
        <v>20071</v>
      </c>
      <c r="F309" s="404">
        <f t="shared" si="71"/>
        <v>0</v>
      </c>
      <c r="G309" s="404">
        <f t="shared" si="71"/>
        <v>15000</v>
      </c>
      <c r="H309" s="404">
        <f t="shared" si="71"/>
        <v>200</v>
      </c>
      <c r="I309" s="404">
        <f t="shared" si="71"/>
        <v>0</v>
      </c>
      <c r="J309" s="404">
        <f t="shared" si="71"/>
        <v>6035</v>
      </c>
      <c r="K309" s="404">
        <f t="shared" si="71"/>
        <v>0</v>
      </c>
      <c r="L309" s="404">
        <f t="shared" si="71"/>
        <v>305113</v>
      </c>
      <c r="M309" s="404" t="e">
        <f>'03'!#REF!+'04'!#REF!</f>
        <v>#REF!</v>
      </c>
      <c r="N309" s="404" t="e">
        <f t="shared" si="68"/>
        <v>#REF!</v>
      </c>
      <c r="O309" s="404" t="e">
        <f>'07'!#REF!</f>
        <v>#REF!</v>
      </c>
      <c r="P309" s="404" t="e">
        <f t="shared" si="69"/>
        <v>#REF!</v>
      </c>
    </row>
    <row r="310" spans="1:16" ht="24.75" customHeight="1" hidden="1">
      <c r="A310" s="429" t="s">
        <v>54</v>
      </c>
      <c r="B310" s="430" t="s">
        <v>139</v>
      </c>
      <c r="C310" s="404">
        <f aca="true" t="shared" si="72" ref="C310:C318">D310+K310+L310</f>
        <v>110738</v>
      </c>
      <c r="D310" s="404">
        <f aca="true" t="shared" si="73"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68"/>
        <v>#REF!</v>
      </c>
      <c r="O310" s="409" t="e">
        <f>'07'!#REF!</f>
        <v>#REF!</v>
      </c>
      <c r="P310" s="409" t="e">
        <f t="shared" si="69"/>
        <v>#REF!</v>
      </c>
    </row>
    <row r="311" spans="1:16" ht="24.75" customHeight="1" hidden="1">
      <c r="A311" s="429" t="s">
        <v>55</v>
      </c>
      <c r="B311" s="430" t="s">
        <v>140</v>
      </c>
      <c r="C311" s="404">
        <f t="shared" si="72"/>
        <v>0</v>
      </c>
      <c r="D311" s="404">
        <f t="shared" si="73"/>
        <v>0</v>
      </c>
      <c r="E311" s="409">
        <v>0</v>
      </c>
      <c r="F311" s="409">
        <v>0</v>
      </c>
      <c r="G311" s="409">
        <v>0</v>
      </c>
      <c r="H311" s="409">
        <v>0</v>
      </c>
      <c r="I311" s="409">
        <v>0</v>
      </c>
      <c r="J311" s="409">
        <v>0</v>
      </c>
      <c r="K311" s="409">
        <v>0</v>
      </c>
      <c r="L311" s="409">
        <v>0</v>
      </c>
      <c r="M311" s="409" t="e">
        <f>'03'!#REF!+'04'!#REF!</f>
        <v>#REF!</v>
      </c>
      <c r="N311" s="409" t="e">
        <f t="shared" si="68"/>
        <v>#REF!</v>
      </c>
      <c r="O311" s="409" t="e">
        <f>'07'!#REF!</f>
        <v>#REF!</v>
      </c>
      <c r="P311" s="409" t="e">
        <f t="shared" si="69"/>
        <v>#REF!</v>
      </c>
    </row>
    <row r="312" spans="1:16" ht="24.75" customHeight="1" hidden="1">
      <c r="A312" s="429" t="s">
        <v>141</v>
      </c>
      <c r="B312" s="430" t="s">
        <v>202</v>
      </c>
      <c r="C312" s="404">
        <f t="shared" si="72"/>
        <v>0</v>
      </c>
      <c r="D312" s="404">
        <f t="shared" si="73"/>
        <v>0</v>
      </c>
      <c r="E312" s="409">
        <v>0</v>
      </c>
      <c r="F312" s="409">
        <v>0</v>
      </c>
      <c r="G312" s="409">
        <v>0</v>
      </c>
      <c r="H312" s="409">
        <v>0</v>
      </c>
      <c r="I312" s="409">
        <v>0</v>
      </c>
      <c r="J312" s="409">
        <v>0</v>
      </c>
      <c r="K312" s="409">
        <v>0</v>
      </c>
      <c r="L312" s="409">
        <v>0</v>
      </c>
      <c r="M312" s="409" t="e">
        <f>'03'!#REF!</f>
        <v>#REF!</v>
      </c>
      <c r="N312" s="409" t="e">
        <f t="shared" si="68"/>
        <v>#REF!</v>
      </c>
      <c r="O312" s="409" t="e">
        <f>'07'!#REF!</f>
        <v>#REF!</v>
      </c>
      <c r="P312" s="409" t="e">
        <f t="shared" si="69"/>
        <v>#REF!</v>
      </c>
    </row>
    <row r="313" spans="1:16" ht="24.75" customHeight="1" hidden="1">
      <c r="A313" s="429" t="s">
        <v>143</v>
      </c>
      <c r="B313" s="430" t="s">
        <v>142</v>
      </c>
      <c r="C313" s="404">
        <f t="shared" si="72"/>
        <v>165795</v>
      </c>
      <c r="D313" s="404">
        <f t="shared" si="73"/>
        <v>9615</v>
      </c>
      <c r="E313" s="409">
        <v>7314</v>
      </c>
      <c r="F313" s="409">
        <v>0</v>
      </c>
      <c r="G313" s="409">
        <v>2000</v>
      </c>
      <c r="H313" s="409">
        <v>0</v>
      </c>
      <c r="I313" s="409">
        <v>0</v>
      </c>
      <c r="J313" s="409">
        <v>301</v>
      </c>
      <c r="K313" s="409">
        <v>0</v>
      </c>
      <c r="L313" s="409">
        <v>156180</v>
      </c>
      <c r="M313" s="409" t="e">
        <f>'03'!#REF!+'04'!#REF!</f>
        <v>#REF!</v>
      </c>
      <c r="N313" s="409" t="e">
        <f t="shared" si="68"/>
        <v>#REF!</v>
      </c>
      <c r="O313" s="409" t="e">
        <f>'07'!#REF!</f>
        <v>#REF!</v>
      </c>
      <c r="P313" s="409" t="e">
        <f t="shared" si="69"/>
        <v>#REF!</v>
      </c>
    </row>
    <row r="314" spans="1:16" ht="24.75" customHeight="1" hidden="1">
      <c r="A314" s="429" t="s">
        <v>145</v>
      </c>
      <c r="B314" s="430" t="s">
        <v>144</v>
      </c>
      <c r="C314" s="404">
        <f t="shared" si="72"/>
        <v>69886</v>
      </c>
      <c r="D314" s="404">
        <f t="shared" si="73"/>
        <v>0</v>
      </c>
      <c r="E314" s="409">
        <v>0</v>
      </c>
      <c r="F314" s="409">
        <v>0</v>
      </c>
      <c r="G314" s="409">
        <v>0</v>
      </c>
      <c r="H314" s="409">
        <v>0</v>
      </c>
      <c r="I314" s="409">
        <v>0</v>
      </c>
      <c r="J314" s="409">
        <v>0</v>
      </c>
      <c r="K314" s="409">
        <v>0</v>
      </c>
      <c r="L314" s="409">
        <v>69886</v>
      </c>
      <c r="M314" s="409" t="e">
        <f>'03'!#REF!+'04'!#REF!</f>
        <v>#REF!</v>
      </c>
      <c r="N314" s="409" t="e">
        <f t="shared" si="68"/>
        <v>#REF!</v>
      </c>
      <c r="O314" s="409" t="e">
        <f>'07'!#REF!</f>
        <v>#REF!</v>
      </c>
      <c r="P314" s="409" t="e">
        <f t="shared" si="69"/>
        <v>#REF!</v>
      </c>
    </row>
    <row r="315" spans="1:16" ht="24.75" customHeight="1" hidden="1">
      <c r="A315" s="429" t="s">
        <v>147</v>
      </c>
      <c r="B315" s="430" t="s">
        <v>146</v>
      </c>
      <c r="C315" s="404">
        <f t="shared" si="72"/>
        <v>0</v>
      </c>
      <c r="D315" s="404">
        <f t="shared" si="73"/>
        <v>0</v>
      </c>
      <c r="E315" s="409">
        <v>0</v>
      </c>
      <c r="F315" s="409">
        <v>0</v>
      </c>
      <c r="G315" s="409">
        <v>0</v>
      </c>
      <c r="H315" s="409">
        <v>0</v>
      </c>
      <c r="I315" s="409">
        <v>0</v>
      </c>
      <c r="J315" s="409">
        <v>0</v>
      </c>
      <c r="K315" s="409">
        <v>0</v>
      </c>
      <c r="L315" s="409">
        <v>0</v>
      </c>
      <c r="M315" s="409" t="e">
        <f>'03'!#REF!+'04'!#REF!</f>
        <v>#REF!</v>
      </c>
      <c r="N315" s="409" t="e">
        <f t="shared" si="68"/>
        <v>#REF!</v>
      </c>
      <c r="O315" s="409" t="e">
        <f>'07'!#REF!</f>
        <v>#REF!</v>
      </c>
      <c r="P315" s="409" t="e">
        <f t="shared" si="69"/>
        <v>#REF!</v>
      </c>
    </row>
    <row r="316" spans="1:16" ht="24.75" customHeight="1" hidden="1">
      <c r="A316" s="429" t="s">
        <v>149</v>
      </c>
      <c r="B316" s="432" t="s">
        <v>148</v>
      </c>
      <c r="C316" s="404">
        <f t="shared" si="72"/>
        <v>0</v>
      </c>
      <c r="D316" s="404">
        <f t="shared" si="73"/>
        <v>0</v>
      </c>
      <c r="E316" s="409">
        <v>0</v>
      </c>
      <c r="F316" s="409">
        <v>0</v>
      </c>
      <c r="G316" s="409">
        <v>0</v>
      </c>
      <c r="H316" s="409">
        <v>0</v>
      </c>
      <c r="I316" s="409">
        <v>0</v>
      </c>
      <c r="J316" s="409">
        <v>0</v>
      </c>
      <c r="K316" s="409">
        <v>0</v>
      </c>
      <c r="L316" s="409">
        <v>0</v>
      </c>
      <c r="M316" s="409" t="e">
        <f>'03'!#REF!+'04'!#REF!</f>
        <v>#REF!</v>
      </c>
      <c r="N316" s="409" t="e">
        <f t="shared" si="68"/>
        <v>#REF!</v>
      </c>
      <c r="O316" s="409" t="e">
        <f>'07'!#REF!</f>
        <v>#REF!</v>
      </c>
      <c r="P316" s="409" t="e">
        <f t="shared" si="69"/>
        <v>#REF!</v>
      </c>
    </row>
    <row r="317" spans="1:16" ht="24.75" customHeight="1" hidden="1">
      <c r="A317" s="429" t="s">
        <v>186</v>
      </c>
      <c r="B317" s="430" t="s">
        <v>150</v>
      </c>
      <c r="C317" s="404">
        <f t="shared" si="72"/>
        <v>0</v>
      </c>
      <c r="D317" s="404">
        <f t="shared" si="73"/>
        <v>0</v>
      </c>
      <c r="E317" s="409">
        <v>0</v>
      </c>
      <c r="F317" s="409">
        <v>0</v>
      </c>
      <c r="G317" s="409">
        <v>0</v>
      </c>
      <c r="H317" s="409">
        <v>0</v>
      </c>
      <c r="I317" s="409">
        <v>0</v>
      </c>
      <c r="J317" s="409">
        <v>0</v>
      </c>
      <c r="K317" s="409">
        <v>0</v>
      </c>
      <c r="L317" s="409">
        <v>0</v>
      </c>
      <c r="M317" s="409" t="e">
        <f>'03'!#REF!+'04'!#REF!</f>
        <v>#REF!</v>
      </c>
      <c r="N317" s="409" t="e">
        <f t="shared" si="68"/>
        <v>#REF!</v>
      </c>
      <c r="O317" s="409" t="e">
        <f>'07'!#REF!</f>
        <v>#REF!</v>
      </c>
      <c r="P317" s="409" t="e">
        <f t="shared" si="69"/>
        <v>#REF!</v>
      </c>
    </row>
    <row r="318" spans="1:16" ht="24.75" customHeight="1" hidden="1">
      <c r="A318" s="394" t="s">
        <v>53</v>
      </c>
      <c r="B318" s="395" t="s">
        <v>151</v>
      </c>
      <c r="C318" s="404">
        <f t="shared" si="72"/>
        <v>48342</v>
      </c>
      <c r="D318" s="404">
        <f t="shared" si="73"/>
        <v>48342</v>
      </c>
      <c r="E318" s="409">
        <v>28442</v>
      </c>
      <c r="F318" s="409">
        <v>0</v>
      </c>
      <c r="G318" s="409">
        <v>19900</v>
      </c>
      <c r="H318" s="409">
        <v>0</v>
      </c>
      <c r="I318" s="409">
        <v>0</v>
      </c>
      <c r="J318" s="409">
        <v>0</v>
      </c>
      <c r="K318" s="409">
        <v>0</v>
      </c>
      <c r="L318" s="409">
        <v>0</v>
      </c>
      <c r="M318" s="404" t="e">
        <f>'03'!#REF!+'04'!#REF!</f>
        <v>#REF!</v>
      </c>
      <c r="N318" s="404" t="e">
        <f t="shared" si="68"/>
        <v>#REF!</v>
      </c>
      <c r="O318" s="404" t="e">
        <f>'07'!#REF!</f>
        <v>#REF!</v>
      </c>
      <c r="P318" s="404" t="e">
        <f t="shared" si="69"/>
        <v>#REF!</v>
      </c>
    </row>
    <row r="319" spans="1:16" ht="24.75" customHeight="1" hidden="1">
      <c r="A319" s="461" t="s">
        <v>76</v>
      </c>
      <c r="B319" s="489" t="s">
        <v>215</v>
      </c>
      <c r="C319" s="473">
        <f>(C310+C311+C312)/C309</f>
        <v>0.3196649144533065</v>
      </c>
      <c r="D319" s="396">
        <f aca="true" t="shared" si="74" ref="D319:L319">(D310+D311+D312)/D309</f>
        <v>0.7672251004696654</v>
      </c>
      <c r="E319" s="412">
        <f t="shared" si="74"/>
        <v>0.6355936425688805</v>
      </c>
      <c r="F319" s="412" t="e">
        <f t="shared" si="74"/>
        <v>#DIV/0!</v>
      </c>
      <c r="G319" s="412">
        <f t="shared" si="74"/>
        <v>0.8666666666666667</v>
      </c>
      <c r="H319" s="412">
        <f t="shared" si="74"/>
        <v>1</v>
      </c>
      <c r="I319" s="412" t="e">
        <f t="shared" si="74"/>
        <v>#DIV/0!</v>
      </c>
      <c r="J319" s="412">
        <f t="shared" si="74"/>
        <v>0.9501242750621375</v>
      </c>
      <c r="K319" s="412" t="e">
        <f t="shared" si="74"/>
        <v>#DIV/0!</v>
      </c>
      <c r="L319" s="412">
        <f t="shared" si="74"/>
        <v>0.2590745068220626</v>
      </c>
      <c r="M319" s="423"/>
      <c r="N319" s="490"/>
      <c r="O319" s="490"/>
      <c r="P319" s="490"/>
    </row>
    <row r="320" spans="1:16" ht="17.25" hidden="1">
      <c r="A320" s="1288" t="s">
        <v>500</v>
      </c>
      <c r="B320" s="1288"/>
      <c r="C320" s="409">
        <f>C303-C306-C307-C308</f>
        <v>0</v>
      </c>
      <c r="D320" s="409">
        <f aca="true" t="shared" si="75" ref="D320:L320">D303-D306-D307-D308</f>
        <v>0</v>
      </c>
      <c r="E320" s="409">
        <f t="shared" si="75"/>
        <v>0</v>
      </c>
      <c r="F320" s="409">
        <f t="shared" si="75"/>
        <v>0</v>
      </c>
      <c r="G320" s="409">
        <f t="shared" si="75"/>
        <v>0</v>
      </c>
      <c r="H320" s="409">
        <f t="shared" si="75"/>
        <v>0</v>
      </c>
      <c r="I320" s="409">
        <f t="shared" si="75"/>
        <v>0</v>
      </c>
      <c r="J320" s="409">
        <f t="shared" si="75"/>
        <v>0</v>
      </c>
      <c r="K320" s="409">
        <f t="shared" si="75"/>
        <v>0</v>
      </c>
      <c r="L320" s="409">
        <f t="shared" si="75"/>
        <v>0</v>
      </c>
      <c r="M320" s="423"/>
      <c r="N320" s="490"/>
      <c r="O320" s="490"/>
      <c r="P320" s="490"/>
    </row>
    <row r="321" spans="1:16" ht="17.25" hidden="1">
      <c r="A321" s="1283" t="s">
        <v>501</v>
      </c>
      <c r="B321" s="1283"/>
      <c r="C321" s="409">
        <f>C308-C309-C318</f>
        <v>0</v>
      </c>
      <c r="D321" s="409">
        <f aca="true" t="shared" si="76" ref="D321:L321">D308-D309-D318</f>
        <v>0</v>
      </c>
      <c r="E321" s="409">
        <f t="shared" si="76"/>
        <v>0</v>
      </c>
      <c r="F321" s="409">
        <f t="shared" si="76"/>
        <v>0</v>
      </c>
      <c r="G321" s="409">
        <f t="shared" si="76"/>
        <v>0</v>
      </c>
      <c r="H321" s="409">
        <f t="shared" si="76"/>
        <v>0</v>
      </c>
      <c r="I321" s="409">
        <f t="shared" si="76"/>
        <v>0</v>
      </c>
      <c r="J321" s="409">
        <f t="shared" si="76"/>
        <v>0</v>
      </c>
      <c r="K321" s="409">
        <f t="shared" si="76"/>
        <v>0</v>
      </c>
      <c r="L321" s="409">
        <f t="shared" si="76"/>
        <v>0</v>
      </c>
      <c r="M321" s="423"/>
      <c r="N321" s="490"/>
      <c r="O321" s="490"/>
      <c r="P321" s="490"/>
    </row>
    <row r="322" spans="1:16" ht="18.75" hidden="1">
      <c r="A322" s="475"/>
      <c r="B322" s="491" t="s">
        <v>520</v>
      </c>
      <c r="C322" s="491"/>
      <c r="D322" s="464"/>
      <c r="E322" s="464"/>
      <c r="F322" s="464"/>
      <c r="G322" s="1280" t="s">
        <v>520</v>
      </c>
      <c r="H322" s="1280"/>
      <c r="I322" s="1280"/>
      <c r="J322" s="1280"/>
      <c r="K322" s="1280"/>
      <c r="L322" s="1280"/>
      <c r="M322" s="478"/>
      <c r="N322" s="478"/>
      <c r="O322" s="478"/>
      <c r="P322" s="478"/>
    </row>
    <row r="323" spans="1:16" ht="18.75" hidden="1">
      <c r="A323" s="1281" t="s">
        <v>4</v>
      </c>
      <c r="B323" s="1281"/>
      <c r="C323" s="1281"/>
      <c r="D323" s="1281"/>
      <c r="E323" s="464"/>
      <c r="F323" s="464"/>
      <c r="G323" s="492"/>
      <c r="H323" s="1282" t="s">
        <v>521</v>
      </c>
      <c r="I323" s="1282"/>
      <c r="J323" s="1282"/>
      <c r="K323" s="1282"/>
      <c r="L323" s="1282"/>
      <c r="M323" s="478"/>
      <c r="N323" s="478"/>
      <c r="O323" s="478"/>
      <c r="P323" s="478"/>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301" t="s">
        <v>33</v>
      </c>
      <c r="B336" s="1302"/>
      <c r="C336" s="474"/>
      <c r="D336" s="1303" t="s">
        <v>79</v>
      </c>
      <c r="E336" s="1303"/>
      <c r="F336" s="1303"/>
      <c r="G336" s="1303"/>
      <c r="H336" s="1303"/>
      <c r="I336" s="1303"/>
      <c r="J336" s="1303"/>
      <c r="K336" s="1294"/>
      <c r="L336" s="1294"/>
      <c r="M336" s="478"/>
    </row>
    <row r="337" spans="1:13" ht="16.5" hidden="1">
      <c r="A337" s="1270" t="s">
        <v>344</v>
      </c>
      <c r="B337" s="1270"/>
      <c r="C337" s="1270"/>
      <c r="D337" s="1303" t="s">
        <v>216</v>
      </c>
      <c r="E337" s="1303"/>
      <c r="F337" s="1303"/>
      <c r="G337" s="1303"/>
      <c r="H337" s="1303"/>
      <c r="I337" s="1303"/>
      <c r="J337" s="1303"/>
      <c r="K337" s="1299" t="s">
        <v>514</v>
      </c>
      <c r="L337" s="1299"/>
      <c r="M337" s="475"/>
    </row>
    <row r="338" spans="1:13" ht="16.5" hidden="1">
      <c r="A338" s="1270" t="s">
        <v>345</v>
      </c>
      <c r="B338" s="1270"/>
      <c r="C338" s="413"/>
      <c r="D338" s="1293" t="s">
        <v>554</v>
      </c>
      <c r="E338" s="1293"/>
      <c r="F338" s="1293"/>
      <c r="G338" s="1293"/>
      <c r="H338" s="1293"/>
      <c r="I338" s="1293"/>
      <c r="J338" s="1293"/>
      <c r="K338" s="1294"/>
      <c r="L338" s="1294"/>
      <c r="M338" s="478"/>
    </row>
    <row r="339" spans="1:13" ht="15.75" hidden="1">
      <c r="A339" s="434" t="s">
        <v>119</v>
      </c>
      <c r="B339" s="434"/>
      <c r="C339" s="419"/>
      <c r="D339" s="479"/>
      <c r="E339" s="479"/>
      <c r="F339" s="480"/>
      <c r="G339" s="480"/>
      <c r="H339" s="480"/>
      <c r="I339" s="480"/>
      <c r="J339" s="480"/>
      <c r="K339" s="1289"/>
      <c r="L339" s="1289"/>
      <c r="M339" s="475"/>
    </row>
    <row r="340" spans="1:13" ht="15.75" hidden="1">
      <c r="A340" s="479"/>
      <c r="B340" s="479" t="s">
        <v>94</v>
      </c>
      <c r="C340" s="479"/>
      <c r="D340" s="479"/>
      <c r="E340" s="479"/>
      <c r="F340" s="479"/>
      <c r="G340" s="479"/>
      <c r="H340" s="479"/>
      <c r="I340" s="479"/>
      <c r="J340" s="479"/>
      <c r="K340" s="1300"/>
      <c r="L340" s="1300"/>
      <c r="M340" s="475"/>
    </row>
    <row r="341" spans="1:13" ht="15.75" hidden="1">
      <c r="A341" s="932" t="s">
        <v>71</v>
      </c>
      <c r="B341" s="933"/>
      <c r="C341" s="1284" t="s">
        <v>38</v>
      </c>
      <c r="D341" s="1309" t="s">
        <v>339</v>
      </c>
      <c r="E341" s="1309"/>
      <c r="F341" s="1309"/>
      <c r="G341" s="1309"/>
      <c r="H341" s="1309"/>
      <c r="I341" s="1309"/>
      <c r="J341" s="1309"/>
      <c r="K341" s="1309"/>
      <c r="L341" s="1309"/>
      <c r="M341" s="478"/>
    </row>
    <row r="342" spans="1:13" ht="15.75" hidden="1">
      <c r="A342" s="934"/>
      <c r="B342" s="935"/>
      <c r="C342" s="1284"/>
      <c r="D342" s="1310" t="s">
        <v>207</v>
      </c>
      <c r="E342" s="1311"/>
      <c r="F342" s="1311"/>
      <c r="G342" s="1311"/>
      <c r="H342" s="1311"/>
      <c r="I342" s="1311"/>
      <c r="J342" s="1312"/>
      <c r="K342" s="1290" t="s">
        <v>208</v>
      </c>
      <c r="L342" s="1290" t="s">
        <v>209</v>
      </c>
      <c r="M342" s="475"/>
    </row>
    <row r="343" spans="1:13" ht="15.75" hidden="1">
      <c r="A343" s="934"/>
      <c r="B343" s="935"/>
      <c r="C343" s="1284"/>
      <c r="D343" s="1285" t="s">
        <v>37</v>
      </c>
      <c r="E343" s="1306" t="s">
        <v>7</v>
      </c>
      <c r="F343" s="1307"/>
      <c r="G343" s="1307"/>
      <c r="H343" s="1307"/>
      <c r="I343" s="1307"/>
      <c r="J343" s="1308"/>
      <c r="K343" s="1297"/>
      <c r="L343" s="1291"/>
      <c r="M343" s="475"/>
    </row>
    <row r="344" spans="1:16" ht="15.75" hidden="1">
      <c r="A344" s="1295"/>
      <c r="B344" s="1296"/>
      <c r="C344" s="1284"/>
      <c r="D344" s="1285"/>
      <c r="E344" s="481" t="s">
        <v>210</v>
      </c>
      <c r="F344" s="481" t="s">
        <v>211</v>
      </c>
      <c r="G344" s="481" t="s">
        <v>212</v>
      </c>
      <c r="H344" s="481" t="s">
        <v>213</v>
      </c>
      <c r="I344" s="481" t="s">
        <v>346</v>
      </c>
      <c r="J344" s="481" t="s">
        <v>214</v>
      </c>
      <c r="K344" s="1298"/>
      <c r="L344" s="1292"/>
      <c r="M344" s="1305" t="s">
        <v>502</v>
      </c>
      <c r="N344" s="1305"/>
      <c r="O344" s="1305"/>
      <c r="P344" s="1305"/>
    </row>
    <row r="345" spans="1:16" ht="15" hidden="1">
      <c r="A345" s="1286" t="s">
        <v>6</v>
      </c>
      <c r="B345" s="1287"/>
      <c r="C345" s="482">
        <v>1</v>
      </c>
      <c r="D345" s="483">
        <v>2</v>
      </c>
      <c r="E345" s="482">
        <v>3</v>
      </c>
      <c r="F345" s="483">
        <v>4</v>
      </c>
      <c r="G345" s="482">
        <v>5</v>
      </c>
      <c r="H345" s="483">
        <v>6</v>
      </c>
      <c r="I345" s="482">
        <v>7</v>
      </c>
      <c r="J345" s="483">
        <v>8</v>
      </c>
      <c r="K345" s="482">
        <v>9</v>
      </c>
      <c r="L345" s="483">
        <v>10</v>
      </c>
      <c r="M345" s="484" t="s">
        <v>503</v>
      </c>
      <c r="N345" s="485" t="s">
        <v>506</v>
      </c>
      <c r="O345" s="485" t="s">
        <v>504</v>
      </c>
      <c r="P345" s="485" t="s">
        <v>505</v>
      </c>
    </row>
    <row r="346" spans="1:16" ht="24.75" customHeight="1" hidden="1">
      <c r="A346" s="426" t="s">
        <v>0</v>
      </c>
      <c r="B346" s="427" t="s">
        <v>131</v>
      </c>
      <c r="C346" s="404">
        <f>C347+C348</f>
        <v>676031</v>
      </c>
      <c r="D346" s="404">
        <f aca="true" t="shared" si="77" ref="D346:L346">D347+D348</f>
        <v>216345</v>
      </c>
      <c r="E346" s="404">
        <f t="shared" si="77"/>
        <v>42086</v>
      </c>
      <c r="F346" s="404">
        <f t="shared" si="77"/>
        <v>0</v>
      </c>
      <c r="G346" s="404">
        <f t="shared" si="77"/>
        <v>127097</v>
      </c>
      <c r="H346" s="404">
        <f t="shared" si="77"/>
        <v>24743</v>
      </c>
      <c r="I346" s="404">
        <f t="shared" si="77"/>
        <v>3300</v>
      </c>
      <c r="J346" s="404">
        <f t="shared" si="77"/>
        <v>19119</v>
      </c>
      <c r="K346" s="404">
        <f t="shared" si="77"/>
        <v>0</v>
      </c>
      <c r="L346" s="404">
        <f t="shared" si="77"/>
        <v>459686</v>
      </c>
      <c r="M346" s="404" t="e">
        <f>'03'!#REF!+'04'!#REF!</f>
        <v>#REF!</v>
      </c>
      <c r="N346" s="404" t="e">
        <f>C346-M346</f>
        <v>#REF!</v>
      </c>
      <c r="O346" s="404" t="e">
        <f>'07'!#REF!</f>
        <v>#REF!</v>
      </c>
      <c r="P346" s="404" t="e">
        <f>C346-O346</f>
        <v>#REF!</v>
      </c>
    </row>
    <row r="347" spans="1:16" ht="24.75" customHeight="1" hidden="1">
      <c r="A347" s="429">
        <v>1</v>
      </c>
      <c r="B347" s="430"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78" ref="N347:N361">C347-M347</f>
        <v>#REF!</v>
      </c>
      <c r="O347" s="409" t="e">
        <f>'07'!#REF!</f>
        <v>#REF!</v>
      </c>
      <c r="P347" s="409" t="e">
        <f aca="true" t="shared" si="79" ref="P347:P361">C347-O347</f>
        <v>#REF!</v>
      </c>
    </row>
    <row r="348" spans="1:16" ht="24.75" customHeight="1" hidden="1">
      <c r="A348" s="429">
        <v>2</v>
      </c>
      <c r="B348" s="430"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78"/>
        <v>#REF!</v>
      </c>
      <c r="O348" s="409" t="e">
        <f>'07'!#REF!</f>
        <v>#REF!</v>
      </c>
      <c r="P348" s="409" t="e">
        <f t="shared" si="79"/>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78"/>
        <v>#REF!</v>
      </c>
      <c r="O349" s="409" t="e">
        <f>'07'!#REF!</f>
        <v>#REF!</v>
      </c>
      <c r="P349" s="409" t="e">
        <f t="shared" si="79"/>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78"/>
        <v>#REF!</v>
      </c>
      <c r="O350" s="409" t="e">
        <f>'07'!#REF!</f>
        <v>#REF!</v>
      </c>
      <c r="P350" s="409" t="e">
        <f t="shared" si="79"/>
        <v>#REF!</v>
      </c>
    </row>
    <row r="351" spans="1:16" ht="24.75" customHeight="1" hidden="1">
      <c r="A351" s="394" t="s">
        <v>136</v>
      </c>
      <c r="B351" s="395" t="s">
        <v>137</v>
      </c>
      <c r="C351" s="404">
        <f>C352+C361</f>
        <v>600431</v>
      </c>
      <c r="D351" s="404">
        <f aca="true" t="shared" si="80" ref="D351:L351">D352+D361</f>
        <v>207875</v>
      </c>
      <c r="E351" s="404">
        <f t="shared" si="80"/>
        <v>33616</v>
      </c>
      <c r="F351" s="404">
        <f t="shared" si="80"/>
        <v>0</v>
      </c>
      <c r="G351" s="404">
        <f t="shared" si="80"/>
        <v>127097</v>
      </c>
      <c r="H351" s="404">
        <f t="shared" si="80"/>
        <v>24743</v>
      </c>
      <c r="I351" s="404">
        <f t="shared" si="80"/>
        <v>3300</v>
      </c>
      <c r="J351" s="404">
        <f t="shared" si="80"/>
        <v>19119</v>
      </c>
      <c r="K351" s="404">
        <f t="shared" si="80"/>
        <v>0</v>
      </c>
      <c r="L351" s="404">
        <f t="shared" si="80"/>
        <v>392556</v>
      </c>
      <c r="M351" s="404" t="e">
        <f>'03'!#REF!+'04'!#REF!</f>
        <v>#REF!</v>
      </c>
      <c r="N351" s="404" t="e">
        <f t="shared" si="78"/>
        <v>#REF!</v>
      </c>
      <c r="O351" s="404" t="e">
        <f>'07'!#REF!</f>
        <v>#REF!</v>
      </c>
      <c r="P351" s="404" t="e">
        <f t="shared" si="79"/>
        <v>#REF!</v>
      </c>
    </row>
    <row r="352" spans="1:16" ht="24.75" customHeight="1" hidden="1">
      <c r="A352" s="394" t="s">
        <v>52</v>
      </c>
      <c r="B352" s="431" t="s">
        <v>138</v>
      </c>
      <c r="C352" s="404">
        <f>SUM(C353:C360)</f>
        <v>455899</v>
      </c>
      <c r="D352" s="404">
        <f aca="true" t="shared" si="81" ref="D352:L352">SUM(D353:D360)</f>
        <v>63343</v>
      </c>
      <c r="E352" s="404">
        <f t="shared" si="81"/>
        <v>16181</v>
      </c>
      <c r="F352" s="404">
        <f t="shared" si="81"/>
        <v>0</v>
      </c>
      <c r="G352" s="404">
        <f t="shared" si="81"/>
        <v>0</v>
      </c>
      <c r="H352" s="404">
        <f t="shared" si="81"/>
        <v>24743</v>
      </c>
      <c r="I352" s="404">
        <f t="shared" si="81"/>
        <v>3300</v>
      </c>
      <c r="J352" s="404">
        <f t="shared" si="81"/>
        <v>19119</v>
      </c>
      <c r="K352" s="404">
        <f t="shared" si="81"/>
        <v>0</v>
      </c>
      <c r="L352" s="404">
        <f t="shared" si="81"/>
        <v>392556</v>
      </c>
      <c r="M352" s="404" t="e">
        <f>'03'!#REF!+'04'!#REF!</f>
        <v>#REF!</v>
      </c>
      <c r="N352" s="404" t="e">
        <f t="shared" si="78"/>
        <v>#REF!</v>
      </c>
      <c r="O352" s="404" t="e">
        <f>'07'!#REF!</f>
        <v>#REF!</v>
      </c>
      <c r="P352" s="404" t="e">
        <f t="shared" si="79"/>
        <v>#REF!</v>
      </c>
    </row>
    <row r="353" spans="1:16" ht="24.75" customHeight="1" hidden="1">
      <c r="A353" s="429" t="s">
        <v>54</v>
      </c>
      <c r="B353" s="430" t="s">
        <v>139</v>
      </c>
      <c r="C353" s="404">
        <f aca="true" t="shared" si="82" ref="C353:C361">D353+K353+L353</f>
        <v>75443</v>
      </c>
      <c r="D353" s="404">
        <f aca="true" t="shared" si="83" ref="D353:D361">E353+F353+G353+H353+I353+J353</f>
        <v>61443</v>
      </c>
      <c r="E353" s="409">
        <v>15981</v>
      </c>
      <c r="F353" s="409"/>
      <c r="G353" s="409"/>
      <c r="H353" s="409">
        <v>23043</v>
      </c>
      <c r="I353" s="409">
        <v>3300</v>
      </c>
      <c r="J353" s="409">
        <v>19119</v>
      </c>
      <c r="K353" s="409"/>
      <c r="L353" s="409">
        <v>14000</v>
      </c>
      <c r="M353" s="409" t="e">
        <f>'03'!#REF!+'04'!#REF!</f>
        <v>#REF!</v>
      </c>
      <c r="N353" s="409" t="e">
        <f t="shared" si="78"/>
        <v>#REF!</v>
      </c>
      <c r="O353" s="409" t="e">
        <f>'07'!#REF!</f>
        <v>#REF!</v>
      </c>
      <c r="P353" s="409" t="e">
        <f t="shared" si="79"/>
        <v>#REF!</v>
      </c>
    </row>
    <row r="354" spans="1:16" ht="24.75" customHeight="1" hidden="1">
      <c r="A354" s="429" t="s">
        <v>55</v>
      </c>
      <c r="B354" s="430" t="s">
        <v>140</v>
      </c>
      <c r="C354" s="404">
        <f t="shared" si="82"/>
        <v>0</v>
      </c>
      <c r="D354" s="404">
        <f t="shared" si="83"/>
        <v>0</v>
      </c>
      <c r="E354" s="409"/>
      <c r="F354" s="409"/>
      <c r="G354" s="409"/>
      <c r="H354" s="409"/>
      <c r="I354" s="409"/>
      <c r="J354" s="409"/>
      <c r="K354" s="409"/>
      <c r="L354" s="409"/>
      <c r="M354" s="409" t="e">
        <f>'03'!#REF!+'04'!#REF!</f>
        <v>#REF!</v>
      </c>
      <c r="N354" s="409" t="e">
        <f t="shared" si="78"/>
        <v>#REF!</v>
      </c>
      <c r="O354" s="409" t="e">
        <f>'07'!#REF!</f>
        <v>#REF!</v>
      </c>
      <c r="P354" s="409" t="e">
        <f t="shared" si="79"/>
        <v>#REF!</v>
      </c>
    </row>
    <row r="355" spans="1:16" ht="24.75" customHeight="1" hidden="1">
      <c r="A355" s="429" t="s">
        <v>141</v>
      </c>
      <c r="B355" s="430" t="s">
        <v>202</v>
      </c>
      <c r="C355" s="404">
        <f t="shared" si="82"/>
        <v>0</v>
      </c>
      <c r="D355" s="404">
        <f t="shared" si="83"/>
        <v>0</v>
      </c>
      <c r="E355" s="409"/>
      <c r="F355" s="409"/>
      <c r="G355" s="409"/>
      <c r="H355" s="409"/>
      <c r="I355" s="409"/>
      <c r="J355" s="409"/>
      <c r="K355" s="409"/>
      <c r="L355" s="409"/>
      <c r="M355" s="409" t="e">
        <f>'03'!#REF!</f>
        <v>#REF!</v>
      </c>
      <c r="N355" s="409" t="e">
        <f t="shared" si="78"/>
        <v>#REF!</v>
      </c>
      <c r="O355" s="409" t="e">
        <f>'07'!#REF!</f>
        <v>#REF!</v>
      </c>
      <c r="P355" s="409" t="e">
        <f t="shared" si="79"/>
        <v>#REF!</v>
      </c>
    </row>
    <row r="356" spans="1:16" ht="24.75" customHeight="1" hidden="1">
      <c r="A356" s="429" t="s">
        <v>143</v>
      </c>
      <c r="B356" s="430" t="s">
        <v>142</v>
      </c>
      <c r="C356" s="404">
        <f t="shared" si="82"/>
        <v>253354</v>
      </c>
      <c r="D356" s="404">
        <f t="shared" si="83"/>
        <v>1900</v>
      </c>
      <c r="E356" s="409">
        <v>200</v>
      </c>
      <c r="F356" s="409"/>
      <c r="G356" s="409"/>
      <c r="H356" s="409">
        <v>1700</v>
      </c>
      <c r="I356" s="409"/>
      <c r="J356" s="409"/>
      <c r="K356" s="409"/>
      <c r="L356" s="409">
        <v>251454</v>
      </c>
      <c r="M356" s="409" t="e">
        <f>'03'!#REF!+'04'!#REF!</f>
        <v>#REF!</v>
      </c>
      <c r="N356" s="409" t="e">
        <f t="shared" si="78"/>
        <v>#REF!</v>
      </c>
      <c r="O356" s="409" t="e">
        <f>'07'!#REF!</f>
        <v>#REF!</v>
      </c>
      <c r="P356" s="409" t="e">
        <f t="shared" si="79"/>
        <v>#REF!</v>
      </c>
    </row>
    <row r="357" spans="1:16" ht="24.75" customHeight="1" hidden="1">
      <c r="A357" s="429" t="s">
        <v>145</v>
      </c>
      <c r="B357" s="430" t="s">
        <v>144</v>
      </c>
      <c r="C357" s="404">
        <f t="shared" si="82"/>
        <v>0</v>
      </c>
      <c r="D357" s="404">
        <f t="shared" si="83"/>
        <v>0</v>
      </c>
      <c r="E357" s="409"/>
      <c r="F357" s="409"/>
      <c r="G357" s="409"/>
      <c r="H357" s="409"/>
      <c r="I357" s="409"/>
      <c r="J357" s="409"/>
      <c r="K357" s="409"/>
      <c r="L357" s="409"/>
      <c r="M357" s="409" t="e">
        <f>'03'!#REF!+'04'!#REF!</f>
        <v>#REF!</v>
      </c>
      <c r="N357" s="409" t="e">
        <f t="shared" si="78"/>
        <v>#REF!</v>
      </c>
      <c r="O357" s="409" t="e">
        <f>'07'!#REF!</f>
        <v>#REF!</v>
      </c>
      <c r="P357" s="409" t="e">
        <f t="shared" si="79"/>
        <v>#REF!</v>
      </c>
    </row>
    <row r="358" spans="1:16" ht="24.75" customHeight="1" hidden="1">
      <c r="A358" s="429" t="s">
        <v>147</v>
      </c>
      <c r="B358" s="430" t="s">
        <v>146</v>
      </c>
      <c r="C358" s="404">
        <f t="shared" si="82"/>
        <v>0</v>
      </c>
      <c r="D358" s="404">
        <f t="shared" si="83"/>
        <v>0</v>
      </c>
      <c r="E358" s="409"/>
      <c r="F358" s="409"/>
      <c r="G358" s="409"/>
      <c r="H358" s="409"/>
      <c r="I358" s="409"/>
      <c r="J358" s="409"/>
      <c r="K358" s="409"/>
      <c r="L358" s="409"/>
      <c r="M358" s="409" t="e">
        <f>'03'!#REF!+'04'!#REF!</f>
        <v>#REF!</v>
      </c>
      <c r="N358" s="409" t="e">
        <f t="shared" si="78"/>
        <v>#REF!</v>
      </c>
      <c r="O358" s="409" t="e">
        <f>'07'!#REF!</f>
        <v>#REF!</v>
      </c>
      <c r="P358" s="409" t="e">
        <f t="shared" si="79"/>
        <v>#REF!</v>
      </c>
    </row>
    <row r="359" spans="1:16" ht="24.75" customHeight="1" hidden="1">
      <c r="A359" s="429" t="s">
        <v>149</v>
      </c>
      <c r="B359" s="432" t="s">
        <v>148</v>
      </c>
      <c r="C359" s="404">
        <f t="shared" si="82"/>
        <v>0</v>
      </c>
      <c r="D359" s="404">
        <f t="shared" si="83"/>
        <v>0</v>
      </c>
      <c r="E359" s="409"/>
      <c r="F359" s="409"/>
      <c r="G359" s="409"/>
      <c r="H359" s="409"/>
      <c r="I359" s="409"/>
      <c r="J359" s="409"/>
      <c r="K359" s="409"/>
      <c r="L359" s="409"/>
      <c r="M359" s="409" t="e">
        <f>'03'!#REF!+'04'!#REF!</f>
        <v>#REF!</v>
      </c>
      <c r="N359" s="409" t="e">
        <f t="shared" si="78"/>
        <v>#REF!</v>
      </c>
      <c r="O359" s="409" t="e">
        <f>'07'!#REF!</f>
        <v>#REF!</v>
      </c>
      <c r="P359" s="409" t="e">
        <f t="shared" si="79"/>
        <v>#REF!</v>
      </c>
    </row>
    <row r="360" spans="1:16" ht="24.75" customHeight="1" hidden="1">
      <c r="A360" s="429" t="s">
        <v>186</v>
      </c>
      <c r="B360" s="430" t="s">
        <v>150</v>
      </c>
      <c r="C360" s="404">
        <f t="shared" si="82"/>
        <v>127102</v>
      </c>
      <c r="D360" s="404">
        <f t="shared" si="83"/>
        <v>0</v>
      </c>
      <c r="E360" s="409"/>
      <c r="F360" s="409"/>
      <c r="G360" s="409"/>
      <c r="H360" s="409"/>
      <c r="I360" s="409"/>
      <c r="J360" s="409"/>
      <c r="K360" s="409"/>
      <c r="L360" s="409">
        <v>127102</v>
      </c>
      <c r="M360" s="409" t="e">
        <f>'03'!#REF!+'04'!#REF!</f>
        <v>#REF!</v>
      </c>
      <c r="N360" s="409" t="e">
        <f t="shared" si="78"/>
        <v>#REF!</v>
      </c>
      <c r="O360" s="409" t="e">
        <f>'07'!#REF!</f>
        <v>#REF!</v>
      </c>
      <c r="P360" s="409" t="e">
        <f t="shared" si="79"/>
        <v>#REF!</v>
      </c>
    </row>
    <row r="361" spans="1:16" ht="24.75" customHeight="1" hidden="1">
      <c r="A361" s="394" t="s">
        <v>53</v>
      </c>
      <c r="B361" s="395" t="s">
        <v>151</v>
      </c>
      <c r="C361" s="404">
        <f t="shared" si="82"/>
        <v>144532</v>
      </c>
      <c r="D361" s="404">
        <f t="shared" si="83"/>
        <v>144532</v>
      </c>
      <c r="E361" s="409">
        <v>17435</v>
      </c>
      <c r="F361" s="409"/>
      <c r="G361" s="409">
        <v>127097</v>
      </c>
      <c r="H361" s="409"/>
      <c r="I361" s="409"/>
      <c r="J361" s="409"/>
      <c r="K361" s="409"/>
      <c r="L361" s="409"/>
      <c r="M361" s="404" t="e">
        <f>'03'!#REF!+'04'!#REF!</f>
        <v>#REF!</v>
      </c>
      <c r="N361" s="404" t="e">
        <f t="shared" si="78"/>
        <v>#REF!</v>
      </c>
      <c r="O361" s="404" t="e">
        <f>'07'!#REF!</f>
        <v>#REF!</v>
      </c>
      <c r="P361" s="404" t="e">
        <f t="shared" si="79"/>
        <v>#REF!</v>
      </c>
    </row>
    <row r="362" spans="1:16" ht="24.75" customHeight="1" hidden="1">
      <c r="A362" s="461" t="s">
        <v>76</v>
      </c>
      <c r="B362" s="489" t="s">
        <v>215</v>
      </c>
      <c r="C362" s="473">
        <f>(C353+C354+C355)/C352</f>
        <v>0.16548182821195045</v>
      </c>
      <c r="D362" s="396">
        <f aca="true" t="shared" si="84" ref="D362:L362">(D353+D354+D355)/D352</f>
        <v>0.9700045782485831</v>
      </c>
      <c r="E362" s="412">
        <f t="shared" si="84"/>
        <v>0.9876398244855077</v>
      </c>
      <c r="F362" s="412" t="e">
        <f t="shared" si="84"/>
        <v>#DIV/0!</v>
      </c>
      <c r="G362" s="412" t="e">
        <f t="shared" si="84"/>
        <v>#DIV/0!</v>
      </c>
      <c r="H362" s="412">
        <f t="shared" si="84"/>
        <v>0.9312936992280645</v>
      </c>
      <c r="I362" s="412">
        <f t="shared" si="84"/>
        <v>1</v>
      </c>
      <c r="J362" s="412">
        <f t="shared" si="84"/>
        <v>1</v>
      </c>
      <c r="K362" s="412" t="e">
        <f t="shared" si="84"/>
        <v>#DIV/0!</v>
      </c>
      <c r="L362" s="412">
        <f t="shared" si="84"/>
        <v>0.03566370148462895</v>
      </c>
      <c r="M362" s="423"/>
      <c r="N362" s="490"/>
      <c r="O362" s="490"/>
      <c r="P362" s="490"/>
    </row>
    <row r="363" spans="1:16" ht="17.25" hidden="1">
      <c r="A363" s="1288" t="s">
        <v>500</v>
      </c>
      <c r="B363" s="1288"/>
      <c r="C363" s="409">
        <f>C346-C349-C350-C351</f>
        <v>0</v>
      </c>
      <c r="D363" s="409">
        <f aca="true" t="shared" si="85" ref="D363:L363">D346-D349-D350-D351</f>
        <v>0</v>
      </c>
      <c r="E363" s="409">
        <f t="shared" si="85"/>
        <v>0</v>
      </c>
      <c r="F363" s="409">
        <f t="shared" si="85"/>
        <v>0</v>
      </c>
      <c r="G363" s="409">
        <f t="shared" si="85"/>
        <v>0</v>
      </c>
      <c r="H363" s="409">
        <f t="shared" si="85"/>
        <v>0</v>
      </c>
      <c r="I363" s="409">
        <f t="shared" si="85"/>
        <v>0</v>
      </c>
      <c r="J363" s="409">
        <f t="shared" si="85"/>
        <v>0</v>
      </c>
      <c r="K363" s="409">
        <f t="shared" si="85"/>
        <v>0</v>
      </c>
      <c r="L363" s="409">
        <f t="shared" si="85"/>
        <v>0</v>
      </c>
      <c r="M363" s="423"/>
      <c r="N363" s="490"/>
      <c r="O363" s="490"/>
      <c r="P363" s="490"/>
    </row>
    <row r="364" spans="1:16" ht="17.25" hidden="1">
      <c r="A364" s="1283" t="s">
        <v>501</v>
      </c>
      <c r="B364" s="1283"/>
      <c r="C364" s="409">
        <f>C351-C352-C361</f>
        <v>0</v>
      </c>
      <c r="D364" s="409">
        <f aca="true" t="shared" si="86" ref="D364:L364">D351-D352-D361</f>
        <v>0</v>
      </c>
      <c r="E364" s="409">
        <f t="shared" si="86"/>
        <v>0</v>
      </c>
      <c r="F364" s="409">
        <f t="shared" si="86"/>
        <v>0</v>
      </c>
      <c r="G364" s="409">
        <f t="shared" si="86"/>
        <v>0</v>
      </c>
      <c r="H364" s="409">
        <f t="shared" si="86"/>
        <v>0</v>
      </c>
      <c r="I364" s="409">
        <f t="shared" si="86"/>
        <v>0</v>
      </c>
      <c r="J364" s="409">
        <f t="shared" si="86"/>
        <v>0</v>
      </c>
      <c r="K364" s="409">
        <f t="shared" si="86"/>
        <v>0</v>
      </c>
      <c r="L364" s="409">
        <f t="shared" si="86"/>
        <v>0</v>
      </c>
      <c r="M364" s="423"/>
      <c r="N364" s="490"/>
      <c r="O364" s="490"/>
      <c r="P364" s="490"/>
    </row>
    <row r="365" spans="1:16" ht="18.75" hidden="1">
      <c r="A365" s="475"/>
      <c r="B365" s="491" t="s">
        <v>520</v>
      </c>
      <c r="C365" s="491"/>
      <c r="D365" s="464"/>
      <c r="E365" s="464"/>
      <c r="F365" s="464"/>
      <c r="G365" s="1280" t="s">
        <v>520</v>
      </c>
      <c r="H365" s="1280"/>
      <c r="I365" s="1280"/>
      <c r="J365" s="1280"/>
      <c r="K365" s="1280"/>
      <c r="L365" s="1280"/>
      <c r="M365" s="478"/>
      <c r="N365" s="478"/>
      <c r="O365" s="478"/>
      <c r="P365" s="478"/>
    </row>
    <row r="366" spans="1:16" ht="18.75" hidden="1">
      <c r="A366" s="1281" t="s">
        <v>4</v>
      </c>
      <c r="B366" s="1281"/>
      <c r="C366" s="1281"/>
      <c r="D366" s="1281"/>
      <c r="E366" s="464"/>
      <c r="F366" s="464"/>
      <c r="G366" s="492"/>
      <c r="H366" s="1282" t="s">
        <v>521</v>
      </c>
      <c r="I366" s="1282"/>
      <c r="J366" s="1282"/>
      <c r="K366" s="1282"/>
      <c r="L366" s="1282"/>
      <c r="M366" s="478"/>
      <c r="N366" s="478"/>
      <c r="O366" s="478"/>
      <c r="P366" s="478"/>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301" t="s">
        <v>33</v>
      </c>
      <c r="B379" s="1302"/>
      <c r="C379" s="474"/>
      <c r="D379" s="1303" t="s">
        <v>79</v>
      </c>
      <c r="E379" s="1303"/>
      <c r="F379" s="1303"/>
      <c r="G379" s="1303"/>
      <c r="H379" s="1303"/>
      <c r="I379" s="1303"/>
      <c r="J379" s="1303"/>
      <c r="K379" s="1294"/>
      <c r="L379" s="1294"/>
      <c r="M379" s="478"/>
    </row>
    <row r="380" spans="1:13" ht="16.5" hidden="1">
      <c r="A380" s="1270" t="s">
        <v>344</v>
      </c>
      <c r="B380" s="1270"/>
      <c r="C380" s="1270"/>
      <c r="D380" s="1303" t="s">
        <v>216</v>
      </c>
      <c r="E380" s="1303"/>
      <c r="F380" s="1303"/>
      <c r="G380" s="1303"/>
      <c r="H380" s="1303"/>
      <c r="I380" s="1303"/>
      <c r="J380" s="1303"/>
      <c r="K380" s="1299" t="s">
        <v>515</v>
      </c>
      <c r="L380" s="1299"/>
      <c r="M380" s="475"/>
    </row>
    <row r="381" spans="1:13" ht="16.5" hidden="1">
      <c r="A381" s="1270" t="s">
        <v>345</v>
      </c>
      <c r="B381" s="1270"/>
      <c r="C381" s="413"/>
      <c r="D381" s="1293" t="s">
        <v>11</v>
      </c>
      <c r="E381" s="1293"/>
      <c r="F381" s="1293"/>
      <c r="G381" s="1293"/>
      <c r="H381" s="1293"/>
      <c r="I381" s="1293"/>
      <c r="J381" s="1293"/>
      <c r="K381" s="1294"/>
      <c r="L381" s="1294"/>
      <c r="M381" s="478"/>
    </row>
    <row r="382" spans="1:13" ht="15.75" hidden="1">
      <c r="A382" s="434" t="s">
        <v>119</v>
      </c>
      <c r="B382" s="434"/>
      <c r="C382" s="419"/>
      <c r="D382" s="479"/>
      <c r="E382" s="479"/>
      <c r="F382" s="480"/>
      <c r="G382" s="480"/>
      <c r="H382" s="480"/>
      <c r="I382" s="480"/>
      <c r="J382" s="480"/>
      <c r="K382" s="1289"/>
      <c r="L382" s="1289"/>
      <c r="M382" s="475"/>
    </row>
    <row r="383" spans="1:13" ht="15.75" hidden="1">
      <c r="A383" s="479"/>
      <c r="B383" s="479" t="s">
        <v>94</v>
      </c>
      <c r="C383" s="409">
        <v>2566605</v>
      </c>
      <c r="D383" s="409">
        <v>891117</v>
      </c>
      <c r="E383" s="409">
        <v>322557</v>
      </c>
      <c r="F383" s="409"/>
      <c r="G383" s="409">
        <v>305560</v>
      </c>
      <c r="H383" s="409"/>
      <c r="I383" s="409">
        <v>263000</v>
      </c>
      <c r="J383" s="409"/>
      <c r="K383" s="409">
        <v>1675488</v>
      </c>
      <c r="L383" s="409"/>
      <c r="M383" s="475"/>
    </row>
    <row r="384" spans="1:13" ht="15.75" hidden="1">
      <c r="A384" s="932" t="s">
        <v>71</v>
      </c>
      <c r="B384" s="933"/>
      <c r="C384" s="1284" t="s">
        <v>38</v>
      </c>
      <c r="D384" s="1309" t="s">
        <v>339</v>
      </c>
      <c r="E384" s="1309"/>
      <c r="F384" s="1309"/>
      <c r="G384" s="1309"/>
      <c r="H384" s="1309"/>
      <c r="I384" s="1309"/>
      <c r="J384" s="1309"/>
      <c r="K384" s="1309"/>
      <c r="L384" s="1309"/>
      <c r="M384" s="478"/>
    </row>
    <row r="385" spans="1:13" ht="15.75" hidden="1">
      <c r="A385" s="934"/>
      <c r="B385" s="935"/>
      <c r="C385" s="1284"/>
      <c r="D385" s="1310" t="s">
        <v>207</v>
      </c>
      <c r="E385" s="1311"/>
      <c r="F385" s="1311"/>
      <c r="G385" s="1311"/>
      <c r="H385" s="1311"/>
      <c r="I385" s="1311"/>
      <c r="J385" s="1312"/>
      <c r="K385" s="1290" t="s">
        <v>208</v>
      </c>
      <c r="L385" s="1290" t="s">
        <v>209</v>
      </c>
      <c r="M385" s="475"/>
    </row>
    <row r="386" spans="1:13" ht="15.75" hidden="1">
      <c r="A386" s="934"/>
      <c r="B386" s="935"/>
      <c r="C386" s="1284"/>
      <c r="D386" s="1285" t="s">
        <v>37</v>
      </c>
      <c r="E386" s="1306" t="s">
        <v>7</v>
      </c>
      <c r="F386" s="1307"/>
      <c r="G386" s="1307"/>
      <c r="H386" s="1307"/>
      <c r="I386" s="1307"/>
      <c r="J386" s="1308"/>
      <c r="K386" s="1297"/>
      <c r="L386" s="1291"/>
      <c r="M386" s="475"/>
    </row>
    <row r="387" spans="1:16" ht="15.75" hidden="1">
      <c r="A387" s="1295"/>
      <c r="B387" s="1296"/>
      <c r="C387" s="1284"/>
      <c r="D387" s="1285"/>
      <c r="E387" s="481" t="s">
        <v>210</v>
      </c>
      <c r="F387" s="481" t="s">
        <v>211</v>
      </c>
      <c r="G387" s="481" t="s">
        <v>212</v>
      </c>
      <c r="H387" s="481" t="s">
        <v>213</v>
      </c>
      <c r="I387" s="481" t="s">
        <v>346</v>
      </c>
      <c r="J387" s="481" t="s">
        <v>214</v>
      </c>
      <c r="K387" s="1298"/>
      <c r="L387" s="1292"/>
      <c r="M387" s="1305" t="s">
        <v>502</v>
      </c>
      <c r="N387" s="1305"/>
      <c r="O387" s="1305"/>
      <c r="P387" s="1305"/>
    </row>
    <row r="388" spans="1:16" ht="15" hidden="1">
      <c r="A388" s="1286" t="s">
        <v>6</v>
      </c>
      <c r="B388" s="1287"/>
      <c r="C388" s="482">
        <v>1</v>
      </c>
      <c r="D388" s="483">
        <v>2</v>
      </c>
      <c r="E388" s="482">
        <v>3</v>
      </c>
      <c r="F388" s="483">
        <v>4</v>
      </c>
      <c r="G388" s="482">
        <v>5</v>
      </c>
      <c r="H388" s="483">
        <v>6</v>
      </c>
      <c r="I388" s="482">
        <v>7</v>
      </c>
      <c r="J388" s="483">
        <v>8</v>
      </c>
      <c r="K388" s="482">
        <v>9</v>
      </c>
      <c r="L388" s="483">
        <v>10</v>
      </c>
      <c r="M388" s="484" t="s">
        <v>503</v>
      </c>
      <c r="N388" s="485" t="s">
        <v>506</v>
      </c>
      <c r="O388" s="485" t="s">
        <v>504</v>
      </c>
      <c r="P388" s="485" t="s">
        <v>505</v>
      </c>
    </row>
    <row r="389" spans="1:16" ht="24.75" customHeight="1" hidden="1">
      <c r="A389" s="426" t="s">
        <v>0</v>
      </c>
      <c r="B389" s="427" t="s">
        <v>131</v>
      </c>
      <c r="C389" s="404">
        <f>C390+C391</f>
        <v>6961324</v>
      </c>
      <c r="D389" s="404">
        <f aca="true" t="shared" si="87" ref="D389:L389">D390+D391</f>
        <v>1160486</v>
      </c>
      <c r="E389" s="404">
        <f t="shared" si="87"/>
        <v>331649</v>
      </c>
      <c r="F389" s="404">
        <f t="shared" si="87"/>
        <v>0</v>
      </c>
      <c r="G389" s="404">
        <f t="shared" si="87"/>
        <v>382410</v>
      </c>
      <c r="H389" s="404">
        <f t="shared" si="87"/>
        <v>109701</v>
      </c>
      <c r="I389" s="404">
        <f t="shared" si="87"/>
        <v>278351</v>
      </c>
      <c r="J389" s="404">
        <f t="shared" si="87"/>
        <v>58375</v>
      </c>
      <c r="K389" s="404">
        <f t="shared" si="87"/>
        <v>0</v>
      </c>
      <c r="L389" s="404">
        <f t="shared" si="87"/>
        <v>5800838</v>
      </c>
      <c r="M389" s="404" t="e">
        <f>'03'!#REF!+'04'!#REF!</f>
        <v>#REF!</v>
      </c>
      <c r="N389" s="404" t="e">
        <f>C389-M389</f>
        <v>#REF!</v>
      </c>
      <c r="O389" s="404" t="e">
        <f>'07'!#REF!</f>
        <v>#REF!</v>
      </c>
      <c r="P389" s="404" t="e">
        <f>C389-O389</f>
        <v>#REF!</v>
      </c>
    </row>
    <row r="390" spans="1:16" ht="24.75" customHeight="1" hidden="1">
      <c r="A390" s="429">
        <v>1</v>
      </c>
      <c r="B390" s="430"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88" ref="N390:N404">C390-M390</f>
        <v>#REF!</v>
      </c>
      <c r="O390" s="409" t="e">
        <f>'07'!#REF!</f>
        <v>#REF!</v>
      </c>
      <c r="P390" s="409" t="e">
        <f aca="true" t="shared" si="89" ref="P390:P404">C390-O390</f>
        <v>#REF!</v>
      </c>
    </row>
    <row r="391" spans="1:16" ht="24.75" customHeight="1" hidden="1">
      <c r="A391" s="429">
        <v>2</v>
      </c>
      <c r="B391" s="430"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88"/>
        <v>#REF!</v>
      </c>
      <c r="O391" s="409" t="e">
        <f>'07'!#REF!</f>
        <v>#REF!</v>
      </c>
      <c r="P391" s="409" t="e">
        <f t="shared" si="89"/>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88"/>
        <v>#REF!</v>
      </c>
      <c r="O392" s="409" t="e">
        <f>'07'!#REF!</f>
        <v>#REF!</v>
      </c>
      <c r="P392" s="409" t="e">
        <f t="shared" si="89"/>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88"/>
        <v>#REF!</v>
      </c>
      <c r="O393" s="409" t="e">
        <f>'07'!#REF!</f>
        <v>#REF!</v>
      </c>
      <c r="P393" s="409" t="e">
        <f t="shared" si="89"/>
        <v>#REF!</v>
      </c>
    </row>
    <row r="394" spans="1:16" ht="24.75" customHeight="1" hidden="1">
      <c r="A394" s="394" t="s">
        <v>136</v>
      </c>
      <c r="B394" s="395" t="s">
        <v>137</v>
      </c>
      <c r="C394" s="404">
        <f>C395+C404</f>
        <v>6960374</v>
      </c>
      <c r="D394" s="404">
        <f aca="true" t="shared" si="90" ref="D394:L394">D395+D404</f>
        <v>1159536</v>
      </c>
      <c r="E394" s="404">
        <f t="shared" si="90"/>
        <v>331449</v>
      </c>
      <c r="F394" s="404">
        <f t="shared" si="90"/>
        <v>0</v>
      </c>
      <c r="G394" s="404">
        <f t="shared" si="90"/>
        <v>382410</v>
      </c>
      <c r="H394" s="404">
        <f t="shared" si="90"/>
        <v>109701</v>
      </c>
      <c r="I394" s="404">
        <f t="shared" si="90"/>
        <v>277601</v>
      </c>
      <c r="J394" s="404">
        <f t="shared" si="90"/>
        <v>58375</v>
      </c>
      <c r="K394" s="404">
        <f t="shared" si="90"/>
        <v>0</v>
      </c>
      <c r="L394" s="404">
        <f t="shared" si="90"/>
        <v>5800838</v>
      </c>
      <c r="M394" s="404" t="e">
        <f>'03'!#REF!+'04'!#REF!</f>
        <v>#REF!</v>
      </c>
      <c r="N394" s="404" t="e">
        <f t="shared" si="88"/>
        <v>#REF!</v>
      </c>
      <c r="O394" s="404" t="e">
        <f>'07'!#REF!</f>
        <v>#REF!</v>
      </c>
      <c r="P394" s="404" t="e">
        <f t="shared" si="89"/>
        <v>#REF!</v>
      </c>
    </row>
    <row r="395" spans="1:16" ht="24.75" customHeight="1" hidden="1">
      <c r="A395" s="394" t="s">
        <v>52</v>
      </c>
      <c r="B395" s="431" t="s">
        <v>138</v>
      </c>
      <c r="C395" s="404">
        <f>SUM(C396:C403)</f>
        <v>6284923</v>
      </c>
      <c r="D395" s="404">
        <f aca="true" t="shared" si="91" ref="D395:L395">SUM(D396:D403)</f>
        <v>484085</v>
      </c>
      <c r="E395" s="404">
        <f t="shared" si="91"/>
        <v>254828</v>
      </c>
      <c r="F395" s="404">
        <f t="shared" si="91"/>
        <v>0</v>
      </c>
      <c r="G395" s="404">
        <f t="shared" si="91"/>
        <v>83280</v>
      </c>
      <c r="H395" s="404">
        <f t="shared" si="91"/>
        <v>1201</v>
      </c>
      <c r="I395" s="404">
        <f t="shared" si="91"/>
        <v>86401</v>
      </c>
      <c r="J395" s="404">
        <f t="shared" si="91"/>
        <v>58375</v>
      </c>
      <c r="K395" s="404">
        <f t="shared" si="91"/>
        <v>0</v>
      </c>
      <c r="L395" s="404">
        <f t="shared" si="91"/>
        <v>5800838</v>
      </c>
      <c r="M395" s="404" t="e">
        <f>'03'!#REF!+'04'!#REF!</f>
        <v>#REF!</v>
      </c>
      <c r="N395" s="404" t="e">
        <f t="shared" si="88"/>
        <v>#REF!</v>
      </c>
      <c r="O395" s="404" t="e">
        <f>'07'!#REF!</f>
        <v>#REF!</v>
      </c>
      <c r="P395" s="404" t="e">
        <f t="shared" si="89"/>
        <v>#REF!</v>
      </c>
    </row>
    <row r="396" spans="1:16" ht="24.75" customHeight="1" hidden="1">
      <c r="A396" s="429" t="s">
        <v>54</v>
      </c>
      <c r="B396" s="430" t="s">
        <v>139</v>
      </c>
      <c r="C396" s="404">
        <f aca="true" t="shared" si="92" ref="C396:C404">D396+K396+L396</f>
        <v>88177</v>
      </c>
      <c r="D396" s="404">
        <f aca="true" t="shared" si="93"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88"/>
        <v>#REF!</v>
      </c>
      <c r="O396" s="409" t="e">
        <f>'07'!#REF!</f>
        <v>#REF!</v>
      </c>
      <c r="P396" s="409" t="e">
        <f t="shared" si="89"/>
        <v>#REF!</v>
      </c>
    </row>
    <row r="397" spans="1:16" ht="24.75" customHeight="1" hidden="1">
      <c r="A397" s="429" t="s">
        <v>55</v>
      </c>
      <c r="B397" s="430" t="s">
        <v>140</v>
      </c>
      <c r="C397" s="404">
        <f t="shared" si="92"/>
        <v>0</v>
      </c>
      <c r="D397" s="404">
        <f t="shared" si="93"/>
        <v>0</v>
      </c>
      <c r="E397" s="409">
        <v>0</v>
      </c>
      <c r="F397" s="409">
        <v>0</v>
      </c>
      <c r="G397" s="409">
        <v>0</v>
      </c>
      <c r="H397" s="409">
        <v>0</v>
      </c>
      <c r="I397" s="409">
        <v>0</v>
      </c>
      <c r="J397" s="409">
        <v>0</v>
      </c>
      <c r="K397" s="409">
        <v>0</v>
      </c>
      <c r="L397" s="409">
        <v>0</v>
      </c>
      <c r="M397" s="409" t="e">
        <f>'03'!#REF!+'04'!#REF!</f>
        <v>#REF!</v>
      </c>
      <c r="N397" s="409" t="e">
        <f t="shared" si="88"/>
        <v>#REF!</v>
      </c>
      <c r="O397" s="409" t="e">
        <f>'07'!#REF!</f>
        <v>#REF!</v>
      </c>
      <c r="P397" s="409" t="e">
        <f t="shared" si="89"/>
        <v>#REF!</v>
      </c>
    </row>
    <row r="398" spans="1:16" ht="24.75" customHeight="1" hidden="1">
      <c r="A398" s="429" t="s">
        <v>141</v>
      </c>
      <c r="B398" s="430" t="s">
        <v>202</v>
      </c>
      <c r="C398" s="404">
        <f t="shared" si="92"/>
        <v>4500</v>
      </c>
      <c r="D398" s="404">
        <f t="shared" si="93"/>
        <v>4500</v>
      </c>
      <c r="E398" s="409">
        <v>0</v>
      </c>
      <c r="F398" s="409">
        <v>0</v>
      </c>
      <c r="G398" s="409">
        <v>4500</v>
      </c>
      <c r="H398" s="409">
        <v>0</v>
      </c>
      <c r="I398" s="409">
        <v>0</v>
      </c>
      <c r="J398" s="409">
        <v>0</v>
      </c>
      <c r="K398" s="409">
        <v>0</v>
      </c>
      <c r="L398" s="409">
        <v>0</v>
      </c>
      <c r="M398" s="409" t="e">
        <f>'03'!#REF!</f>
        <v>#REF!</v>
      </c>
      <c r="N398" s="409" t="e">
        <f t="shared" si="88"/>
        <v>#REF!</v>
      </c>
      <c r="O398" s="409" t="e">
        <f>'07'!#REF!</f>
        <v>#REF!</v>
      </c>
      <c r="P398" s="409" t="e">
        <f t="shared" si="89"/>
        <v>#REF!</v>
      </c>
    </row>
    <row r="399" spans="1:16" ht="24.75" customHeight="1" hidden="1">
      <c r="A399" s="429" t="s">
        <v>143</v>
      </c>
      <c r="B399" s="430" t="s">
        <v>142</v>
      </c>
      <c r="C399" s="404">
        <f t="shared" si="92"/>
        <v>4418051</v>
      </c>
      <c r="D399" s="404">
        <f t="shared" si="93"/>
        <v>108583</v>
      </c>
      <c r="E399" s="409">
        <v>10903</v>
      </c>
      <c r="F399" s="409">
        <v>0</v>
      </c>
      <c r="G399" s="409">
        <v>61780</v>
      </c>
      <c r="H399" s="409">
        <v>0</v>
      </c>
      <c r="I399" s="409">
        <v>35900</v>
      </c>
      <c r="J399" s="409">
        <v>0</v>
      </c>
      <c r="K399" s="409">
        <v>0</v>
      </c>
      <c r="L399" s="409">
        <v>4309468</v>
      </c>
      <c r="M399" s="409" t="e">
        <f>'03'!#REF!+'04'!#REF!</f>
        <v>#REF!</v>
      </c>
      <c r="N399" s="409" t="e">
        <f t="shared" si="88"/>
        <v>#REF!</v>
      </c>
      <c r="O399" s="409" t="e">
        <f>'07'!#REF!</f>
        <v>#REF!</v>
      </c>
      <c r="P399" s="409" t="e">
        <f t="shared" si="89"/>
        <v>#REF!</v>
      </c>
    </row>
    <row r="400" spans="1:16" ht="24.75" customHeight="1" hidden="1">
      <c r="A400" s="429" t="s">
        <v>145</v>
      </c>
      <c r="B400" s="430" t="s">
        <v>144</v>
      </c>
      <c r="C400" s="404">
        <f t="shared" si="92"/>
        <v>50472</v>
      </c>
      <c r="D400" s="404">
        <f t="shared" si="93"/>
        <v>50472</v>
      </c>
      <c r="E400" s="409">
        <v>1472</v>
      </c>
      <c r="F400" s="409">
        <v>0</v>
      </c>
      <c r="G400" s="409">
        <v>0</v>
      </c>
      <c r="H400" s="409">
        <v>0</v>
      </c>
      <c r="I400" s="409">
        <v>49000</v>
      </c>
      <c r="J400" s="409">
        <v>0</v>
      </c>
      <c r="K400" s="409">
        <v>0</v>
      </c>
      <c r="L400" s="409">
        <v>0</v>
      </c>
      <c r="M400" s="409" t="e">
        <f>'03'!#REF!+'04'!#REF!</f>
        <v>#REF!</v>
      </c>
      <c r="N400" s="409" t="e">
        <f t="shared" si="88"/>
        <v>#REF!</v>
      </c>
      <c r="O400" s="409" t="e">
        <f>'07'!#REF!</f>
        <v>#REF!</v>
      </c>
      <c r="P400" s="409" t="e">
        <f t="shared" si="89"/>
        <v>#REF!</v>
      </c>
    </row>
    <row r="401" spans="1:16" ht="24.75" customHeight="1" hidden="1">
      <c r="A401" s="429" t="s">
        <v>147</v>
      </c>
      <c r="B401" s="430" t="s">
        <v>146</v>
      </c>
      <c r="C401" s="404">
        <f t="shared" si="92"/>
        <v>0</v>
      </c>
      <c r="D401" s="404">
        <f t="shared" si="93"/>
        <v>0</v>
      </c>
      <c r="E401" s="409">
        <v>0</v>
      </c>
      <c r="F401" s="409">
        <v>0</v>
      </c>
      <c r="G401" s="409">
        <v>0</v>
      </c>
      <c r="H401" s="409">
        <v>0</v>
      </c>
      <c r="I401" s="409">
        <v>0</v>
      </c>
      <c r="J401" s="409">
        <v>0</v>
      </c>
      <c r="K401" s="409">
        <v>0</v>
      </c>
      <c r="L401" s="409">
        <v>0</v>
      </c>
      <c r="M401" s="409" t="e">
        <f>'03'!#REF!+'04'!#REF!</f>
        <v>#REF!</v>
      </c>
      <c r="N401" s="409" t="e">
        <f t="shared" si="88"/>
        <v>#REF!</v>
      </c>
      <c r="O401" s="409" t="e">
        <f>'07'!#REF!</f>
        <v>#REF!</v>
      </c>
      <c r="P401" s="409" t="e">
        <f t="shared" si="89"/>
        <v>#REF!</v>
      </c>
    </row>
    <row r="402" spans="1:16" ht="24.75" customHeight="1" hidden="1">
      <c r="A402" s="429" t="s">
        <v>149</v>
      </c>
      <c r="B402" s="432" t="s">
        <v>148</v>
      </c>
      <c r="C402" s="404">
        <f t="shared" si="92"/>
        <v>0</v>
      </c>
      <c r="D402" s="404">
        <f t="shared" si="93"/>
        <v>0</v>
      </c>
      <c r="E402" s="409">
        <v>0</v>
      </c>
      <c r="F402" s="409">
        <v>0</v>
      </c>
      <c r="G402" s="409">
        <v>0</v>
      </c>
      <c r="H402" s="409">
        <v>0</v>
      </c>
      <c r="I402" s="409">
        <v>0</v>
      </c>
      <c r="J402" s="409">
        <v>0</v>
      </c>
      <c r="K402" s="409">
        <v>0</v>
      </c>
      <c r="L402" s="409">
        <v>0</v>
      </c>
      <c r="M402" s="409" t="e">
        <f>'03'!#REF!+'04'!#REF!</f>
        <v>#REF!</v>
      </c>
      <c r="N402" s="409" t="e">
        <f t="shared" si="88"/>
        <v>#REF!</v>
      </c>
      <c r="O402" s="409" t="e">
        <f>'07'!#REF!</f>
        <v>#REF!</v>
      </c>
      <c r="P402" s="409" t="e">
        <f t="shared" si="89"/>
        <v>#REF!</v>
      </c>
    </row>
    <row r="403" spans="1:16" ht="24.75" customHeight="1" hidden="1">
      <c r="A403" s="429" t="s">
        <v>186</v>
      </c>
      <c r="B403" s="430" t="s">
        <v>150</v>
      </c>
      <c r="C403" s="404">
        <f t="shared" si="92"/>
        <v>1723723</v>
      </c>
      <c r="D403" s="404">
        <f t="shared" si="93"/>
        <v>244953</v>
      </c>
      <c r="E403" s="409">
        <v>237953</v>
      </c>
      <c r="F403" s="409">
        <v>0</v>
      </c>
      <c r="G403" s="409">
        <v>7000</v>
      </c>
      <c r="H403" s="409">
        <v>0</v>
      </c>
      <c r="I403" s="409">
        <v>0</v>
      </c>
      <c r="J403" s="409">
        <v>0</v>
      </c>
      <c r="K403" s="409">
        <v>0</v>
      </c>
      <c r="L403" s="409">
        <v>1478770</v>
      </c>
      <c r="M403" s="409" t="e">
        <f>'03'!#REF!+'04'!#REF!</f>
        <v>#REF!</v>
      </c>
      <c r="N403" s="409" t="e">
        <f t="shared" si="88"/>
        <v>#REF!</v>
      </c>
      <c r="O403" s="409" t="e">
        <f>'07'!#REF!</f>
        <v>#REF!</v>
      </c>
      <c r="P403" s="409" t="e">
        <f t="shared" si="89"/>
        <v>#REF!</v>
      </c>
    </row>
    <row r="404" spans="1:16" ht="24.75" customHeight="1" hidden="1">
      <c r="A404" s="394" t="s">
        <v>53</v>
      </c>
      <c r="B404" s="395" t="s">
        <v>151</v>
      </c>
      <c r="C404" s="404">
        <f t="shared" si="92"/>
        <v>675451</v>
      </c>
      <c r="D404" s="404">
        <f t="shared" si="93"/>
        <v>675451</v>
      </c>
      <c r="E404" s="409">
        <v>76621</v>
      </c>
      <c r="F404" s="409">
        <v>0</v>
      </c>
      <c r="G404" s="409">
        <v>299130</v>
      </c>
      <c r="H404" s="409">
        <v>108500</v>
      </c>
      <c r="I404" s="409">
        <v>191200</v>
      </c>
      <c r="J404" s="409">
        <v>0</v>
      </c>
      <c r="K404" s="409">
        <v>0</v>
      </c>
      <c r="L404" s="409">
        <v>0</v>
      </c>
      <c r="M404" s="404" t="e">
        <f>'03'!#REF!+'04'!#REF!</f>
        <v>#REF!</v>
      </c>
      <c r="N404" s="404" t="e">
        <f t="shared" si="88"/>
        <v>#REF!</v>
      </c>
      <c r="O404" s="404" t="e">
        <f>'07'!#REF!</f>
        <v>#REF!</v>
      </c>
      <c r="P404" s="404" t="e">
        <f t="shared" si="89"/>
        <v>#REF!</v>
      </c>
    </row>
    <row r="405" spans="1:16" ht="24.75" customHeight="1" hidden="1">
      <c r="A405" s="461" t="s">
        <v>76</v>
      </c>
      <c r="B405" s="489" t="s">
        <v>215</v>
      </c>
      <c r="C405" s="473">
        <f>(C396+C397+C398)/C395</f>
        <v>0.014745924492631016</v>
      </c>
      <c r="D405" s="396">
        <f aca="true" t="shared" si="94" ref="D405:L405">(D396+D397+D398)/D395</f>
        <v>0.16541929619798176</v>
      </c>
      <c r="E405" s="412">
        <f t="shared" si="94"/>
        <v>0.017658969971902617</v>
      </c>
      <c r="F405" s="412" t="e">
        <f t="shared" si="94"/>
        <v>#DIV/0!</v>
      </c>
      <c r="G405" s="412">
        <f t="shared" si="94"/>
        <v>0.17411143131604226</v>
      </c>
      <c r="H405" s="412">
        <f t="shared" si="94"/>
        <v>1</v>
      </c>
      <c r="I405" s="412">
        <f t="shared" si="94"/>
        <v>0.01737248411476719</v>
      </c>
      <c r="J405" s="412">
        <f t="shared" si="94"/>
        <v>1</v>
      </c>
      <c r="K405" s="412" t="e">
        <f t="shared" si="94"/>
        <v>#DIV/0!</v>
      </c>
      <c r="L405" s="412">
        <f t="shared" si="94"/>
        <v>0.0021720999621089227</v>
      </c>
      <c r="M405" s="423"/>
      <c r="N405" s="490"/>
      <c r="O405" s="490"/>
      <c r="P405" s="490"/>
    </row>
    <row r="406" spans="1:16" ht="17.25" hidden="1">
      <c r="A406" s="1288" t="s">
        <v>500</v>
      </c>
      <c r="B406" s="1288"/>
      <c r="C406" s="409">
        <f>C389-C392-C393-C394</f>
        <v>0</v>
      </c>
      <c r="D406" s="409">
        <f aca="true" t="shared" si="95" ref="D406:L406">D389-D392-D393-D394</f>
        <v>0</v>
      </c>
      <c r="E406" s="409">
        <f t="shared" si="95"/>
        <v>0</v>
      </c>
      <c r="F406" s="409">
        <f t="shared" si="95"/>
        <v>0</v>
      </c>
      <c r="G406" s="409">
        <f t="shared" si="95"/>
        <v>0</v>
      </c>
      <c r="H406" s="409">
        <f t="shared" si="95"/>
        <v>0</v>
      </c>
      <c r="I406" s="409">
        <f t="shared" si="95"/>
        <v>0</v>
      </c>
      <c r="J406" s="409">
        <f t="shared" si="95"/>
        <v>0</v>
      </c>
      <c r="K406" s="409">
        <f t="shared" si="95"/>
        <v>0</v>
      </c>
      <c r="L406" s="409">
        <f t="shared" si="95"/>
        <v>0</v>
      </c>
      <c r="M406" s="423"/>
      <c r="N406" s="490"/>
      <c r="O406" s="490"/>
      <c r="P406" s="490"/>
    </row>
    <row r="407" spans="1:16" ht="17.25" hidden="1">
      <c r="A407" s="1283" t="s">
        <v>501</v>
      </c>
      <c r="B407" s="1283"/>
      <c r="C407" s="409">
        <f>C394-C395-C404</f>
        <v>0</v>
      </c>
      <c r="D407" s="409">
        <f aca="true" t="shared" si="96" ref="D407:L407">D394-D395-D404</f>
        <v>0</v>
      </c>
      <c r="E407" s="409">
        <f t="shared" si="96"/>
        <v>0</v>
      </c>
      <c r="F407" s="409">
        <f t="shared" si="96"/>
        <v>0</v>
      </c>
      <c r="G407" s="409">
        <f t="shared" si="96"/>
        <v>0</v>
      </c>
      <c r="H407" s="409">
        <f t="shared" si="96"/>
        <v>0</v>
      </c>
      <c r="I407" s="409">
        <f t="shared" si="96"/>
        <v>0</v>
      </c>
      <c r="J407" s="409">
        <f t="shared" si="96"/>
        <v>0</v>
      </c>
      <c r="K407" s="409">
        <f t="shared" si="96"/>
        <v>0</v>
      </c>
      <c r="L407" s="409">
        <f t="shared" si="96"/>
        <v>0</v>
      </c>
      <c r="M407" s="423"/>
      <c r="N407" s="490"/>
      <c r="O407" s="490"/>
      <c r="P407" s="490"/>
    </row>
    <row r="408" spans="1:16" ht="18.75" hidden="1">
      <c r="A408" s="475"/>
      <c r="B408" s="491" t="s">
        <v>520</v>
      </c>
      <c r="C408" s="491"/>
      <c r="D408" s="464"/>
      <c r="E408" s="464"/>
      <c r="F408" s="464"/>
      <c r="G408" s="1280" t="s">
        <v>520</v>
      </c>
      <c r="H408" s="1280"/>
      <c r="I408" s="1280"/>
      <c r="J408" s="1280"/>
      <c r="K408" s="1280"/>
      <c r="L408" s="1280"/>
      <c r="M408" s="478"/>
      <c r="N408" s="478"/>
      <c r="O408" s="478"/>
      <c r="P408" s="478"/>
    </row>
    <row r="409" spans="1:16" ht="18.75" hidden="1">
      <c r="A409" s="1281" t="s">
        <v>4</v>
      </c>
      <c r="B409" s="1281"/>
      <c r="C409" s="1281"/>
      <c r="D409" s="1281"/>
      <c r="E409" s="464"/>
      <c r="F409" s="464"/>
      <c r="G409" s="492"/>
      <c r="H409" s="1282" t="s">
        <v>521</v>
      </c>
      <c r="I409" s="1282"/>
      <c r="J409" s="1282"/>
      <c r="K409" s="1282"/>
      <c r="L409" s="1282"/>
      <c r="M409" s="478"/>
      <c r="N409" s="478"/>
      <c r="O409" s="478"/>
      <c r="P409" s="478"/>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301" t="s">
        <v>33</v>
      </c>
      <c r="B426" s="1302"/>
      <c r="C426" s="474"/>
      <c r="D426" s="1303" t="s">
        <v>79</v>
      </c>
      <c r="E426" s="1303"/>
      <c r="F426" s="1303"/>
      <c r="G426" s="1303"/>
      <c r="H426" s="1303"/>
      <c r="I426" s="1303"/>
      <c r="J426" s="1303"/>
      <c r="K426" s="1294"/>
      <c r="L426" s="1294"/>
      <c r="M426" s="478"/>
    </row>
    <row r="427" spans="1:13" ht="16.5" hidden="1">
      <c r="A427" s="1270" t="s">
        <v>344</v>
      </c>
      <c r="B427" s="1270"/>
      <c r="C427" s="1270"/>
      <c r="D427" s="1303" t="s">
        <v>216</v>
      </c>
      <c r="E427" s="1303"/>
      <c r="F427" s="1303"/>
      <c r="G427" s="1303"/>
      <c r="H427" s="1303"/>
      <c r="I427" s="1303"/>
      <c r="J427" s="1303"/>
      <c r="K427" s="1299" t="s">
        <v>516</v>
      </c>
      <c r="L427" s="1299"/>
      <c r="M427" s="475"/>
    </row>
    <row r="428" spans="1:13" ht="16.5" hidden="1">
      <c r="A428" s="1270" t="s">
        <v>345</v>
      </c>
      <c r="B428" s="1270"/>
      <c r="C428" s="413"/>
      <c r="D428" s="1293" t="s">
        <v>11</v>
      </c>
      <c r="E428" s="1293"/>
      <c r="F428" s="1293"/>
      <c r="G428" s="1293"/>
      <c r="H428" s="1293"/>
      <c r="I428" s="1293"/>
      <c r="J428" s="1293"/>
      <c r="K428" s="1294"/>
      <c r="L428" s="1294"/>
      <c r="M428" s="478"/>
    </row>
    <row r="429" spans="1:13" ht="15.75" hidden="1">
      <c r="A429" s="434" t="s">
        <v>119</v>
      </c>
      <c r="B429" s="434"/>
      <c r="C429" s="419"/>
      <c r="D429" s="479"/>
      <c r="E429" s="479"/>
      <c r="F429" s="480"/>
      <c r="G429" s="480"/>
      <c r="H429" s="480"/>
      <c r="I429" s="480"/>
      <c r="J429" s="480"/>
      <c r="K429" s="1289"/>
      <c r="L429" s="1289"/>
      <c r="M429" s="475"/>
    </row>
    <row r="430" spans="1:13" ht="15.75" hidden="1">
      <c r="A430" s="479"/>
      <c r="B430" s="479" t="s">
        <v>94</v>
      </c>
      <c r="C430" s="479"/>
      <c r="D430" s="479"/>
      <c r="E430" s="479"/>
      <c r="F430" s="479"/>
      <c r="G430" s="479"/>
      <c r="H430" s="479"/>
      <c r="I430" s="479"/>
      <c r="J430" s="479"/>
      <c r="K430" s="1300"/>
      <c r="L430" s="1300"/>
      <c r="M430" s="475"/>
    </row>
    <row r="431" spans="1:13" ht="15.75" hidden="1">
      <c r="A431" s="932" t="s">
        <v>71</v>
      </c>
      <c r="B431" s="933"/>
      <c r="C431" s="1284" t="s">
        <v>38</v>
      </c>
      <c r="D431" s="1309" t="s">
        <v>339</v>
      </c>
      <c r="E431" s="1309"/>
      <c r="F431" s="1309"/>
      <c r="G431" s="1309"/>
      <c r="H431" s="1309"/>
      <c r="I431" s="1309"/>
      <c r="J431" s="1309"/>
      <c r="K431" s="1309"/>
      <c r="L431" s="1309"/>
      <c r="M431" s="478"/>
    </row>
    <row r="432" spans="1:13" ht="15.75" hidden="1">
      <c r="A432" s="934"/>
      <c r="B432" s="935"/>
      <c r="C432" s="1284"/>
      <c r="D432" s="1310" t="s">
        <v>207</v>
      </c>
      <c r="E432" s="1311"/>
      <c r="F432" s="1311"/>
      <c r="G432" s="1311"/>
      <c r="H432" s="1311"/>
      <c r="I432" s="1311"/>
      <c r="J432" s="1312"/>
      <c r="K432" s="1290" t="s">
        <v>208</v>
      </c>
      <c r="L432" s="1290" t="s">
        <v>209</v>
      </c>
      <c r="M432" s="475"/>
    </row>
    <row r="433" spans="1:13" ht="15.75" hidden="1">
      <c r="A433" s="934"/>
      <c r="B433" s="935"/>
      <c r="C433" s="1284"/>
      <c r="D433" s="1285" t="s">
        <v>37</v>
      </c>
      <c r="E433" s="1306" t="s">
        <v>7</v>
      </c>
      <c r="F433" s="1307"/>
      <c r="G433" s="1307"/>
      <c r="H433" s="1307"/>
      <c r="I433" s="1307"/>
      <c r="J433" s="1308"/>
      <c r="K433" s="1297"/>
      <c r="L433" s="1291"/>
      <c r="M433" s="475"/>
    </row>
    <row r="434" spans="1:16" ht="15.75" hidden="1">
      <c r="A434" s="1295"/>
      <c r="B434" s="1296"/>
      <c r="C434" s="1284"/>
      <c r="D434" s="1285"/>
      <c r="E434" s="481" t="s">
        <v>210</v>
      </c>
      <c r="F434" s="481" t="s">
        <v>211</v>
      </c>
      <c r="G434" s="481" t="s">
        <v>212</v>
      </c>
      <c r="H434" s="481" t="s">
        <v>213</v>
      </c>
      <c r="I434" s="481" t="s">
        <v>346</v>
      </c>
      <c r="J434" s="481" t="s">
        <v>214</v>
      </c>
      <c r="K434" s="1298"/>
      <c r="L434" s="1292"/>
      <c r="M434" s="1305" t="s">
        <v>502</v>
      </c>
      <c r="N434" s="1305"/>
      <c r="O434" s="1305"/>
      <c r="P434" s="1305"/>
    </row>
    <row r="435" spans="1:16" ht="15" hidden="1">
      <c r="A435" s="1286" t="s">
        <v>6</v>
      </c>
      <c r="B435" s="1287"/>
      <c r="C435" s="482">
        <v>1</v>
      </c>
      <c r="D435" s="483">
        <v>2</v>
      </c>
      <c r="E435" s="482">
        <v>3</v>
      </c>
      <c r="F435" s="483">
        <v>4</v>
      </c>
      <c r="G435" s="482">
        <v>5</v>
      </c>
      <c r="H435" s="483">
        <v>6</v>
      </c>
      <c r="I435" s="482">
        <v>7</v>
      </c>
      <c r="J435" s="483">
        <v>8</v>
      </c>
      <c r="K435" s="482">
        <v>9</v>
      </c>
      <c r="L435" s="483">
        <v>10</v>
      </c>
      <c r="M435" s="484" t="s">
        <v>503</v>
      </c>
      <c r="N435" s="485" t="s">
        <v>506</v>
      </c>
      <c r="O435" s="485" t="s">
        <v>504</v>
      </c>
      <c r="P435" s="485" t="s">
        <v>505</v>
      </c>
    </row>
    <row r="436" spans="1:16" ht="24.75" customHeight="1" hidden="1">
      <c r="A436" s="426" t="s">
        <v>0</v>
      </c>
      <c r="B436" s="427" t="s">
        <v>131</v>
      </c>
      <c r="C436" s="404">
        <f>C437+C438</f>
        <v>5449092</v>
      </c>
      <c r="D436" s="404">
        <f aca="true" t="shared" si="97" ref="D436:L436">D437+D438</f>
        <v>447871</v>
      </c>
      <c r="E436" s="404">
        <f t="shared" si="97"/>
        <v>262468</v>
      </c>
      <c r="F436" s="404">
        <f t="shared" si="97"/>
        <v>0</v>
      </c>
      <c r="G436" s="404">
        <f t="shared" si="97"/>
        <v>115140</v>
      </c>
      <c r="H436" s="404">
        <f t="shared" si="97"/>
        <v>16950</v>
      </c>
      <c r="I436" s="404">
        <f t="shared" si="97"/>
        <v>21311</v>
      </c>
      <c r="J436" s="404">
        <f t="shared" si="97"/>
        <v>32002</v>
      </c>
      <c r="K436" s="404">
        <f t="shared" si="97"/>
        <v>0</v>
      </c>
      <c r="L436" s="404">
        <f t="shared" si="97"/>
        <v>5001221</v>
      </c>
      <c r="M436" s="404" t="e">
        <f>'03'!#REF!+'04'!#REF!</f>
        <v>#REF!</v>
      </c>
      <c r="N436" s="404" t="e">
        <f>C436-M436</f>
        <v>#REF!</v>
      </c>
      <c r="O436" s="404" t="e">
        <f>'07'!#REF!</f>
        <v>#REF!</v>
      </c>
      <c r="P436" s="404" t="e">
        <f>C436-O436</f>
        <v>#REF!</v>
      </c>
    </row>
    <row r="437" spans="1:16" ht="24.75" customHeight="1" hidden="1">
      <c r="A437" s="429">
        <v>1</v>
      </c>
      <c r="B437" s="430"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98" ref="N437:N451">C437-M437</f>
        <v>#REF!</v>
      </c>
      <c r="O437" s="409" t="e">
        <f>'07'!#REF!</f>
        <v>#REF!</v>
      </c>
      <c r="P437" s="409" t="e">
        <f aca="true" t="shared" si="99" ref="P437:P451">C437-O437</f>
        <v>#REF!</v>
      </c>
    </row>
    <row r="438" spans="1:16" ht="24.75" customHeight="1" hidden="1">
      <c r="A438" s="429">
        <v>2</v>
      </c>
      <c r="B438" s="430"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98"/>
        <v>#REF!</v>
      </c>
      <c r="O438" s="409" t="e">
        <f>'07'!#REF!</f>
        <v>#REF!</v>
      </c>
      <c r="P438" s="409" t="e">
        <f t="shared" si="99"/>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98"/>
        <v>#REF!</v>
      </c>
      <c r="O439" s="409" t="e">
        <f>'07'!#REF!</f>
        <v>#REF!</v>
      </c>
      <c r="P439" s="409" t="e">
        <f t="shared" si="99"/>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98"/>
        <v>#REF!</v>
      </c>
      <c r="O440" s="409" t="e">
        <f>'07'!#REF!</f>
        <v>#REF!</v>
      </c>
      <c r="P440" s="409" t="e">
        <f t="shared" si="99"/>
        <v>#REF!</v>
      </c>
    </row>
    <row r="441" spans="1:16" ht="24.75" customHeight="1" hidden="1">
      <c r="A441" s="394" t="s">
        <v>136</v>
      </c>
      <c r="B441" s="395" t="s">
        <v>137</v>
      </c>
      <c r="C441" s="404">
        <f>C442+C451</f>
        <v>5448892</v>
      </c>
      <c r="D441" s="404">
        <f aca="true" t="shared" si="100" ref="D441:L441">D442+D451</f>
        <v>447671</v>
      </c>
      <c r="E441" s="404">
        <f t="shared" si="100"/>
        <v>262268</v>
      </c>
      <c r="F441" s="404">
        <f t="shared" si="100"/>
        <v>0</v>
      </c>
      <c r="G441" s="404">
        <f t="shared" si="100"/>
        <v>115140</v>
      </c>
      <c r="H441" s="404">
        <f t="shared" si="100"/>
        <v>16950</v>
      </c>
      <c r="I441" s="404">
        <f t="shared" si="100"/>
        <v>21311</v>
      </c>
      <c r="J441" s="404">
        <f t="shared" si="100"/>
        <v>32002</v>
      </c>
      <c r="K441" s="404">
        <f t="shared" si="100"/>
        <v>0</v>
      </c>
      <c r="L441" s="404">
        <f t="shared" si="100"/>
        <v>5001221</v>
      </c>
      <c r="M441" s="404" t="e">
        <f>'03'!#REF!+'04'!#REF!</f>
        <v>#REF!</v>
      </c>
      <c r="N441" s="404" t="e">
        <f t="shared" si="98"/>
        <v>#REF!</v>
      </c>
      <c r="O441" s="404" t="e">
        <f>'07'!#REF!</f>
        <v>#REF!</v>
      </c>
      <c r="P441" s="404" t="e">
        <f t="shared" si="99"/>
        <v>#REF!</v>
      </c>
    </row>
    <row r="442" spans="1:16" ht="24.75" customHeight="1" hidden="1">
      <c r="A442" s="394" t="s">
        <v>52</v>
      </c>
      <c r="B442" s="431" t="s">
        <v>138</v>
      </c>
      <c r="C442" s="404">
        <f>SUM(C443:C450)</f>
        <v>5109785</v>
      </c>
      <c r="D442" s="404">
        <f aca="true" t="shared" si="101" ref="D442:L442">SUM(D443:D450)</f>
        <v>108564</v>
      </c>
      <c r="E442" s="404">
        <f t="shared" si="101"/>
        <v>56612</v>
      </c>
      <c r="F442" s="404">
        <f t="shared" si="101"/>
        <v>0</v>
      </c>
      <c r="G442" s="404">
        <f t="shared" si="101"/>
        <v>4500</v>
      </c>
      <c r="H442" s="404">
        <f t="shared" si="101"/>
        <v>15450</v>
      </c>
      <c r="I442" s="404">
        <f t="shared" si="101"/>
        <v>0</v>
      </c>
      <c r="J442" s="404">
        <f t="shared" si="101"/>
        <v>32002</v>
      </c>
      <c r="K442" s="404">
        <f t="shared" si="101"/>
        <v>0</v>
      </c>
      <c r="L442" s="404">
        <f t="shared" si="101"/>
        <v>5001221</v>
      </c>
      <c r="M442" s="404" t="e">
        <f>'03'!#REF!+'04'!#REF!</f>
        <v>#REF!</v>
      </c>
      <c r="N442" s="404" t="e">
        <f t="shared" si="98"/>
        <v>#REF!</v>
      </c>
      <c r="O442" s="404" t="e">
        <f>'07'!#REF!</f>
        <v>#REF!</v>
      </c>
      <c r="P442" s="404" t="e">
        <f t="shared" si="99"/>
        <v>#REF!</v>
      </c>
    </row>
    <row r="443" spans="1:16" ht="24.75" customHeight="1" hidden="1">
      <c r="A443" s="429" t="s">
        <v>54</v>
      </c>
      <c r="B443" s="430" t="s">
        <v>139</v>
      </c>
      <c r="C443" s="404">
        <f aca="true" t="shared" si="102" ref="C443:C451">D443+K443+L443</f>
        <v>96608</v>
      </c>
      <c r="D443" s="404">
        <f aca="true" t="shared" si="103"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98"/>
        <v>#REF!</v>
      </c>
      <c r="O443" s="409" t="e">
        <f>'07'!#REF!</f>
        <v>#REF!</v>
      </c>
      <c r="P443" s="409" t="e">
        <f t="shared" si="99"/>
        <v>#REF!</v>
      </c>
    </row>
    <row r="444" spans="1:16" ht="24.75" customHeight="1" hidden="1">
      <c r="A444" s="429" t="s">
        <v>55</v>
      </c>
      <c r="B444" s="430" t="s">
        <v>140</v>
      </c>
      <c r="C444" s="404">
        <f t="shared" si="102"/>
        <v>0</v>
      </c>
      <c r="D444" s="404">
        <f t="shared" si="103"/>
        <v>0</v>
      </c>
      <c r="E444" s="409">
        <v>0</v>
      </c>
      <c r="F444" s="409">
        <v>0</v>
      </c>
      <c r="G444" s="409">
        <v>0</v>
      </c>
      <c r="H444" s="409">
        <v>0</v>
      </c>
      <c r="I444" s="409">
        <v>0</v>
      </c>
      <c r="J444" s="409">
        <v>0</v>
      </c>
      <c r="K444" s="409">
        <v>0</v>
      </c>
      <c r="L444" s="409">
        <v>0</v>
      </c>
      <c r="M444" s="409" t="e">
        <f>'03'!#REF!+'04'!#REF!</f>
        <v>#REF!</v>
      </c>
      <c r="N444" s="409" t="e">
        <f t="shared" si="98"/>
        <v>#REF!</v>
      </c>
      <c r="O444" s="409" t="e">
        <f>'07'!#REF!</f>
        <v>#REF!</v>
      </c>
      <c r="P444" s="409" t="e">
        <f t="shared" si="99"/>
        <v>#REF!</v>
      </c>
    </row>
    <row r="445" spans="1:16" ht="24.75" customHeight="1" hidden="1">
      <c r="A445" s="429" t="s">
        <v>141</v>
      </c>
      <c r="B445" s="430" t="s">
        <v>202</v>
      </c>
      <c r="C445" s="404">
        <f t="shared" si="102"/>
        <v>0</v>
      </c>
      <c r="D445" s="404">
        <f t="shared" si="103"/>
        <v>0</v>
      </c>
      <c r="E445" s="409">
        <v>0</v>
      </c>
      <c r="F445" s="409">
        <v>0</v>
      </c>
      <c r="G445" s="409">
        <v>0</v>
      </c>
      <c r="H445" s="409">
        <v>0</v>
      </c>
      <c r="I445" s="409">
        <v>0</v>
      </c>
      <c r="J445" s="409">
        <v>0</v>
      </c>
      <c r="K445" s="409">
        <v>0</v>
      </c>
      <c r="L445" s="409">
        <v>0</v>
      </c>
      <c r="M445" s="409" t="e">
        <f>'03'!#REF!</f>
        <v>#REF!</v>
      </c>
      <c r="N445" s="409" t="e">
        <f t="shared" si="98"/>
        <v>#REF!</v>
      </c>
      <c r="O445" s="409" t="e">
        <f>'07'!#REF!</f>
        <v>#REF!</v>
      </c>
      <c r="P445" s="409" t="e">
        <f t="shared" si="99"/>
        <v>#REF!</v>
      </c>
    </row>
    <row r="446" spans="1:16" ht="24.75" customHeight="1" hidden="1">
      <c r="A446" s="429" t="s">
        <v>143</v>
      </c>
      <c r="B446" s="430" t="s">
        <v>142</v>
      </c>
      <c r="C446" s="404">
        <f t="shared" si="102"/>
        <v>539464</v>
      </c>
      <c r="D446" s="404">
        <f t="shared" si="103"/>
        <v>54720</v>
      </c>
      <c r="E446" s="409">
        <v>46920</v>
      </c>
      <c r="F446" s="409"/>
      <c r="G446" s="409">
        <v>4500</v>
      </c>
      <c r="H446" s="409">
        <v>3300</v>
      </c>
      <c r="I446" s="409">
        <v>0</v>
      </c>
      <c r="J446" s="409">
        <v>0</v>
      </c>
      <c r="K446" s="409">
        <v>0</v>
      </c>
      <c r="L446" s="409">
        <v>484744</v>
      </c>
      <c r="M446" s="409" t="e">
        <f>'03'!#REF!+'04'!#REF!</f>
        <v>#REF!</v>
      </c>
      <c r="N446" s="409" t="e">
        <f t="shared" si="98"/>
        <v>#REF!</v>
      </c>
      <c r="O446" s="409" t="e">
        <f>'07'!#REF!</f>
        <v>#REF!</v>
      </c>
      <c r="P446" s="409" t="e">
        <f t="shared" si="99"/>
        <v>#REF!</v>
      </c>
    </row>
    <row r="447" spans="1:16" ht="24.75" customHeight="1" hidden="1">
      <c r="A447" s="429" t="s">
        <v>145</v>
      </c>
      <c r="B447" s="430" t="s">
        <v>144</v>
      </c>
      <c r="C447" s="404">
        <f t="shared" si="102"/>
        <v>1936348</v>
      </c>
      <c r="D447" s="404">
        <f t="shared" si="103"/>
        <v>0</v>
      </c>
      <c r="E447" s="409">
        <v>0</v>
      </c>
      <c r="F447" s="409">
        <v>0</v>
      </c>
      <c r="G447" s="409">
        <v>0</v>
      </c>
      <c r="H447" s="409">
        <v>0</v>
      </c>
      <c r="I447" s="409">
        <v>0</v>
      </c>
      <c r="J447" s="409">
        <v>0</v>
      </c>
      <c r="K447" s="409">
        <v>0</v>
      </c>
      <c r="L447" s="409">
        <v>1936348</v>
      </c>
      <c r="M447" s="409" t="e">
        <f>'03'!#REF!+'04'!#REF!</f>
        <v>#REF!</v>
      </c>
      <c r="N447" s="409" t="e">
        <f t="shared" si="98"/>
        <v>#REF!</v>
      </c>
      <c r="O447" s="409" t="e">
        <f>'07'!#REF!</f>
        <v>#REF!</v>
      </c>
      <c r="P447" s="409" t="e">
        <f t="shared" si="99"/>
        <v>#REF!</v>
      </c>
    </row>
    <row r="448" spans="1:16" ht="24.75" customHeight="1" hidden="1">
      <c r="A448" s="429" t="s">
        <v>147</v>
      </c>
      <c r="B448" s="430" t="s">
        <v>146</v>
      </c>
      <c r="C448" s="404">
        <f t="shared" si="102"/>
        <v>0</v>
      </c>
      <c r="D448" s="404">
        <f t="shared" si="103"/>
        <v>0</v>
      </c>
      <c r="E448" s="409">
        <v>0</v>
      </c>
      <c r="F448" s="409">
        <v>0</v>
      </c>
      <c r="G448" s="409">
        <v>0</v>
      </c>
      <c r="H448" s="409">
        <v>0</v>
      </c>
      <c r="I448" s="409">
        <v>0</v>
      </c>
      <c r="J448" s="409">
        <v>0</v>
      </c>
      <c r="K448" s="409">
        <v>0</v>
      </c>
      <c r="L448" s="409">
        <v>0</v>
      </c>
      <c r="M448" s="409" t="e">
        <f>'03'!#REF!+'04'!#REF!</f>
        <v>#REF!</v>
      </c>
      <c r="N448" s="409" t="e">
        <f t="shared" si="98"/>
        <v>#REF!</v>
      </c>
      <c r="O448" s="409" t="e">
        <f>'07'!#REF!</f>
        <v>#REF!</v>
      </c>
      <c r="P448" s="409" t="e">
        <f t="shared" si="99"/>
        <v>#REF!</v>
      </c>
    </row>
    <row r="449" spans="1:16" ht="24.75" customHeight="1" hidden="1">
      <c r="A449" s="429" t="s">
        <v>149</v>
      </c>
      <c r="B449" s="432" t="s">
        <v>148</v>
      </c>
      <c r="C449" s="404">
        <f t="shared" si="102"/>
        <v>0</v>
      </c>
      <c r="D449" s="404">
        <f t="shared" si="103"/>
        <v>0</v>
      </c>
      <c r="E449" s="409">
        <v>0</v>
      </c>
      <c r="F449" s="409">
        <v>0</v>
      </c>
      <c r="G449" s="409">
        <v>0</v>
      </c>
      <c r="H449" s="409">
        <v>0</v>
      </c>
      <c r="I449" s="409">
        <v>0</v>
      </c>
      <c r="J449" s="409">
        <v>0</v>
      </c>
      <c r="K449" s="409">
        <v>0</v>
      </c>
      <c r="L449" s="409">
        <v>0</v>
      </c>
      <c r="M449" s="409" t="e">
        <f>'03'!#REF!+'04'!#REF!</f>
        <v>#REF!</v>
      </c>
      <c r="N449" s="409" t="e">
        <f t="shared" si="98"/>
        <v>#REF!</v>
      </c>
      <c r="O449" s="409" t="e">
        <f>'07'!#REF!</f>
        <v>#REF!</v>
      </c>
      <c r="P449" s="409" t="e">
        <f t="shared" si="99"/>
        <v>#REF!</v>
      </c>
    </row>
    <row r="450" spans="1:16" ht="24.75" customHeight="1" hidden="1">
      <c r="A450" s="429" t="s">
        <v>186</v>
      </c>
      <c r="B450" s="430" t="s">
        <v>150</v>
      </c>
      <c r="C450" s="404">
        <f t="shared" si="102"/>
        <v>2537365</v>
      </c>
      <c r="D450" s="404">
        <f t="shared" si="103"/>
        <v>0</v>
      </c>
      <c r="E450" s="409">
        <v>0</v>
      </c>
      <c r="F450" s="409">
        <v>0</v>
      </c>
      <c r="G450" s="409">
        <v>0</v>
      </c>
      <c r="H450" s="409">
        <v>0</v>
      </c>
      <c r="I450" s="409">
        <v>0</v>
      </c>
      <c r="J450" s="409">
        <v>0</v>
      </c>
      <c r="K450" s="409">
        <v>0</v>
      </c>
      <c r="L450" s="409">
        <v>2537365</v>
      </c>
      <c r="M450" s="409" t="e">
        <f>'03'!#REF!+'04'!#REF!</f>
        <v>#REF!</v>
      </c>
      <c r="N450" s="409" t="e">
        <f t="shared" si="98"/>
        <v>#REF!</v>
      </c>
      <c r="O450" s="409" t="e">
        <f>'07'!#REF!</f>
        <v>#REF!</v>
      </c>
      <c r="P450" s="409" t="e">
        <f t="shared" si="99"/>
        <v>#REF!</v>
      </c>
    </row>
    <row r="451" spans="1:16" ht="24.75" customHeight="1" hidden="1">
      <c r="A451" s="394" t="s">
        <v>53</v>
      </c>
      <c r="B451" s="395" t="s">
        <v>151</v>
      </c>
      <c r="C451" s="404">
        <f t="shared" si="102"/>
        <v>339107</v>
      </c>
      <c r="D451" s="404">
        <f t="shared" si="103"/>
        <v>339107</v>
      </c>
      <c r="E451" s="409">
        <v>205656</v>
      </c>
      <c r="F451" s="409">
        <v>0</v>
      </c>
      <c r="G451" s="409">
        <v>110640</v>
      </c>
      <c r="H451" s="409">
        <v>1500</v>
      </c>
      <c r="I451" s="409">
        <v>21311</v>
      </c>
      <c r="J451" s="409">
        <v>0</v>
      </c>
      <c r="K451" s="409">
        <v>0</v>
      </c>
      <c r="L451" s="409">
        <v>0</v>
      </c>
      <c r="M451" s="404" t="e">
        <f>'03'!#REF!+'04'!#REF!</f>
        <v>#REF!</v>
      </c>
      <c r="N451" s="404" t="e">
        <f t="shared" si="98"/>
        <v>#REF!</v>
      </c>
      <c r="O451" s="404" t="e">
        <f>'07'!#REF!</f>
        <v>#REF!</v>
      </c>
      <c r="P451" s="404" t="e">
        <f t="shared" si="99"/>
        <v>#REF!</v>
      </c>
    </row>
    <row r="452" spans="1:16" ht="24.75" customHeight="1" hidden="1">
      <c r="A452" s="461" t="s">
        <v>76</v>
      </c>
      <c r="B452" s="489" t="s">
        <v>215</v>
      </c>
      <c r="C452" s="473">
        <f>(C443+C444+C445)/C442</f>
        <v>0.0189064706244979</v>
      </c>
      <c r="D452" s="396">
        <f aca="true" t="shared" si="104" ref="D452:L452">(D443+D444+D445)/D442</f>
        <v>0.4959655134298663</v>
      </c>
      <c r="E452" s="412">
        <f t="shared" si="104"/>
        <v>0.1712004522009468</v>
      </c>
      <c r="F452" s="412" t="e">
        <f t="shared" si="104"/>
        <v>#DIV/0!</v>
      </c>
      <c r="G452" s="412">
        <f t="shared" si="104"/>
        <v>0</v>
      </c>
      <c r="H452" s="412">
        <f t="shared" si="104"/>
        <v>0.7864077669902912</v>
      </c>
      <c r="I452" s="412" t="e">
        <f t="shared" si="104"/>
        <v>#DIV/0!</v>
      </c>
      <c r="J452" s="412">
        <f t="shared" si="104"/>
        <v>1</v>
      </c>
      <c r="K452" s="412" t="e">
        <f t="shared" si="104"/>
        <v>#DIV/0!</v>
      </c>
      <c r="L452" s="412">
        <f t="shared" si="104"/>
        <v>0.008550711916150077</v>
      </c>
      <c r="M452" s="423"/>
      <c r="N452" s="490"/>
      <c r="O452" s="490"/>
      <c r="P452" s="490"/>
    </row>
    <row r="453" spans="1:16" ht="17.25" hidden="1">
      <c r="A453" s="1288" t="s">
        <v>500</v>
      </c>
      <c r="B453" s="1288"/>
      <c r="C453" s="409">
        <f>C436-C439-C440-C441</f>
        <v>0</v>
      </c>
      <c r="D453" s="409">
        <f aca="true" t="shared" si="105" ref="D453:L453">D436-D439-D440-D441</f>
        <v>0</v>
      </c>
      <c r="E453" s="409">
        <f t="shared" si="105"/>
        <v>0</v>
      </c>
      <c r="F453" s="409">
        <f t="shared" si="105"/>
        <v>0</v>
      </c>
      <c r="G453" s="409">
        <f t="shared" si="105"/>
        <v>0</v>
      </c>
      <c r="H453" s="409">
        <f t="shared" si="105"/>
        <v>0</v>
      </c>
      <c r="I453" s="409">
        <f t="shared" si="105"/>
        <v>0</v>
      </c>
      <c r="J453" s="409">
        <f t="shared" si="105"/>
        <v>0</v>
      </c>
      <c r="K453" s="409">
        <f t="shared" si="105"/>
        <v>0</v>
      </c>
      <c r="L453" s="409">
        <f t="shared" si="105"/>
        <v>0</v>
      </c>
      <c r="M453" s="423"/>
      <c r="N453" s="490"/>
      <c r="O453" s="490"/>
      <c r="P453" s="490"/>
    </row>
    <row r="454" spans="1:16" ht="17.25" hidden="1">
      <c r="A454" s="1283" t="s">
        <v>501</v>
      </c>
      <c r="B454" s="1283"/>
      <c r="C454" s="409">
        <f>C441-C442-C451</f>
        <v>0</v>
      </c>
      <c r="D454" s="409">
        <f aca="true" t="shared" si="106" ref="D454:L454">D441-D442-D451</f>
        <v>0</v>
      </c>
      <c r="E454" s="409">
        <f t="shared" si="106"/>
        <v>0</v>
      </c>
      <c r="F454" s="409">
        <f t="shared" si="106"/>
        <v>0</v>
      </c>
      <c r="G454" s="409">
        <f t="shared" si="106"/>
        <v>0</v>
      </c>
      <c r="H454" s="409">
        <f t="shared" si="106"/>
        <v>0</v>
      </c>
      <c r="I454" s="409">
        <f t="shared" si="106"/>
        <v>0</v>
      </c>
      <c r="J454" s="409">
        <f t="shared" si="106"/>
        <v>0</v>
      </c>
      <c r="K454" s="409">
        <f t="shared" si="106"/>
        <v>0</v>
      </c>
      <c r="L454" s="409">
        <f t="shared" si="106"/>
        <v>0</v>
      </c>
      <c r="M454" s="423"/>
      <c r="N454" s="490"/>
      <c r="O454" s="490"/>
      <c r="P454" s="490"/>
    </row>
    <row r="455" spans="1:16" ht="18.75" hidden="1">
      <c r="A455" s="475"/>
      <c r="B455" s="491" t="s">
        <v>520</v>
      </c>
      <c r="C455" s="491"/>
      <c r="D455" s="464"/>
      <c r="E455" s="464"/>
      <c r="F455" s="464"/>
      <c r="G455" s="1280" t="s">
        <v>520</v>
      </c>
      <c r="H455" s="1280"/>
      <c r="I455" s="1280"/>
      <c r="J455" s="1280"/>
      <c r="K455" s="1280"/>
      <c r="L455" s="1280"/>
      <c r="M455" s="478"/>
      <c r="N455" s="478"/>
      <c r="O455" s="478"/>
      <c r="P455" s="478"/>
    </row>
    <row r="456" spans="1:16" ht="18.75" hidden="1">
      <c r="A456" s="1281" t="s">
        <v>4</v>
      </c>
      <c r="B456" s="1281"/>
      <c r="C456" s="1281"/>
      <c r="D456" s="1281"/>
      <c r="E456" s="464"/>
      <c r="F456" s="464"/>
      <c r="G456" s="492"/>
      <c r="H456" s="1282" t="s">
        <v>521</v>
      </c>
      <c r="I456" s="1282"/>
      <c r="J456" s="1282"/>
      <c r="K456" s="1282"/>
      <c r="L456" s="1282"/>
      <c r="M456" s="478"/>
      <c r="N456" s="478"/>
      <c r="O456" s="478"/>
      <c r="P456" s="478"/>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301" t="s">
        <v>33</v>
      </c>
      <c r="B468" s="1302"/>
      <c r="C468" s="474"/>
      <c r="D468" s="1303" t="s">
        <v>79</v>
      </c>
      <c r="E468" s="1303"/>
      <c r="F468" s="1303"/>
      <c r="G468" s="1303"/>
      <c r="H468" s="1303"/>
      <c r="I468" s="1303"/>
      <c r="J468" s="1303"/>
      <c r="K468" s="1294"/>
      <c r="L468" s="1294"/>
      <c r="M468" s="478"/>
    </row>
    <row r="469" spans="1:13" ht="16.5" hidden="1">
      <c r="A469" s="1270" t="s">
        <v>344</v>
      </c>
      <c r="B469" s="1270"/>
      <c r="C469" s="1270"/>
      <c r="D469" s="1303" t="s">
        <v>216</v>
      </c>
      <c r="E469" s="1303"/>
      <c r="F469" s="1303"/>
      <c r="G469" s="1303"/>
      <c r="H469" s="1303"/>
      <c r="I469" s="1303"/>
      <c r="J469" s="1303"/>
      <c r="K469" s="1299" t="s">
        <v>517</v>
      </c>
      <c r="L469" s="1299"/>
      <c r="M469" s="475"/>
    </row>
    <row r="470" spans="1:13" ht="16.5" hidden="1">
      <c r="A470" s="1270" t="s">
        <v>345</v>
      </c>
      <c r="B470" s="1270"/>
      <c r="C470" s="413"/>
      <c r="D470" s="1293" t="s">
        <v>11</v>
      </c>
      <c r="E470" s="1293"/>
      <c r="F470" s="1293"/>
      <c r="G470" s="1293"/>
      <c r="H470" s="1293"/>
      <c r="I470" s="1293"/>
      <c r="J470" s="1293"/>
      <c r="K470" s="1294"/>
      <c r="L470" s="1294"/>
      <c r="M470" s="478"/>
    </row>
    <row r="471" spans="1:13" ht="15.75" hidden="1">
      <c r="A471" s="434" t="s">
        <v>119</v>
      </c>
      <c r="B471" s="434"/>
      <c r="C471" s="419"/>
      <c r="D471" s="479"/>
      <c r="E471" s="479"/>
      <c r="F471" s="480"/>
      <c r="G471" s="480"/>
      <c r="H471" s="480"/>
      <c r="I471" s="480"/>
      <c r="J471" s="480"/>
      <c r="K471" s="1289"/>
      <c r="L471" s="1289"/>
      <c r="M471" s="475"/>
    </row>
    <row r="472" spans="1:13" ht="15.75" hidden="1">
      <c r="A472" s="479"/>
      <c r="B472" s="479" t="s">
        <v>94</v>
      </c>
      <c r="C472" s="479"/>
      <c r="D472" s="479"/>
      <c r="E472" s="479"/>
      <c r="F472" s="479"/>
      <c r="G472" s="479"/>
      <c r="H472" s="479"/>
      <c r="I472" s="479"/>
      <c r="J472" s="479"/>
      <c r="K472" s="1300"/>
      <c r="L472" s="1300"/>
      <c r="M472" s="475"/>
    </row>
    <row r="473" spans="1:13" ht="15.75" hidden="1">
      <c r="A473" s="932" t="s">
        <v>71</v>
      </c>
      <c r="B473" s="933"/>
      <c r="C473" s="1284" t="s">
        <v>38</v>
      </c>
      <c r="D473" s="1309" t="s">
        <v>339</v>
      </c>
      <c r="E473" s="1309"/>
      <c r="F473" s="1309"/>
      <c r="G473" s="1309"/>
      <c r="H473" s="1309"/>
      <c r="I473" s="1309"/>
      <c r="J473" s="1309"/>
      <c r="K473" s="1309"/>
      <c r="L473" s="1309"/>
      <c r="M473" s="478"/>
    </row>
    <row r="474" spans="1:13" ht="15.75" hidden="1">
      <c r="A474" s="934"/>
      <c r="B474" s="935"/>
      <c r="C474" s="1284"/>
      <c r="D474" s="1310" t="s">
        <v>207</v>
      </c>
      <c r="E474" s="1311"/>
      <c r="F474" s="1311"/>
      <c r="G474" s="1311"/>
      <c r="H474" s="1311"/>
      <c r="I474" s="1311"/>
      <c r="J474" s="1312"/>
      <c r="K474" s="1290" t="s">
        <v>208</v>
      </c>
      <c r="L474" s="1290" t="s">
        <v>209</v>
      </c>
      <c r="M474" s="475"/>
    </row>
    <row r="475" spans="1:13" ht="15.75" hidden="1">
      <c r="A475" s="934"/>
      <c r="B475" s="935"/>
      <c r="C475" s="1284"/>
      <c r="D475" s="1285" t="s">
        <v>37</v>
      </c>
      <c r="E475" s="1306" t="s">
        <v>7</v>
      </c>
      <c r="F475" s="1307"/>
      <c r="G475" s="1307"/>
      <c r="H475" s="1307"/>
      <c r="I475" s="1307"/>
      <c r="J475" s="1308"/>
      <c r="K475" s="1297"/>
      <c r="L475" s="1291"/>
      <c r="M475" s="475"/>
    </row>
    <row r="476" spans="1:16" ht="15.75" hidden="1">
      <c r="A476" s="1295"/>
      <c r="B476" s="1296"/>
      <c r="C476" s="1284"/>
      <c r="D476" s="1285"/>
      <c r="E476" s="481" t="s">
        <v>210</v>
      </c>
      <c r="F476" s="481" t="s">
        <v>211</v>
      </c>
      <c r="G476" s="481" t="s">
        <v>212</v>
      </c>
      <c r="H476" s="481" t="s">
        <v>213</v>
      </c>
      <c r="I476" s="481" t="s">
        <v>346</v>
      </c>
      <c r="J476" s="481" t="s">
        <v>214</v>
      </c>
      <c r="K476" s="1298"/>
      <c r="L476" s="1292"/>
      <c r="M476" s="1305" t="s">
        <v>502</v>
      </c>
      <c r="N476" s="1305"/>
      <c r="O476" s="1305"/>
      <c r="P476" s="1305"/>
    </row>
    <row r="477" spans="1:16" ht="15" hidden="1">
      <c r="A477" s="1286" t="s">
        <v>6</v>
      </c>
      <c r="B477" s="1287"/>
      <c r="C477" s="482">
        <v>1</v>
      </c>
      <c r="D477" s="483">
        <v>2</v>
      </c>
      <c r="E477" s="482">
        <v>3</v>
      </c>
      <c r="F477" s="483">
        <v>4</v>
      </c>
      <c r="G477" s="482">
        <v>5</v>
      </c>
      <c r="H477" s="483">
        <v>6</v>
      </c>
      <c r="I477" s="482">
        <v>7</v>
      </c>
      <c r="J477" s="483">
        <v>8</v>
      </c>
      <c r="K477" s="482">
        <v>9</v>
      </c>
      <c r="L477" s="483">
        <v>10</v>
      </c>
      <c r="M477" s="484" t="s">
        <v>503</v>
      </c>
      <c r="N477" s="485" t="s">
        <v>506</v>
      </c>
      <c r="O477" s="485" t="s">
        <v>504</v>
      </c>
      <c r="P477" s="485" t="s">
        <v>505</v>
      </c>
    </row>
    <row r="478" spans="1:16" ht="24.75" customHeight="1" hidden="1">
      <c r="A478" s="426" t="s">
        <v>0</v>
      </c>
      <c r="B478" s="427" t="s">
        <v>131</v>
      </c>
      <c r="C478" s="404">
        <f>C479+C480</f>
        <v>922525</v>
      </c>
      <c r="D478" s="404">
        <f aca="true" t="shared" si="107" ref="D478:L478">D479+D480</f>
        <v>186914</v>
      </c>
      <c r="E478" s="404">
        <f t="shared" si="107"/>
        <v>67241</v>
      </c>
      <c r="F478" s="404">
        <f t="shared" si="107"/>
        <v>0</v>
      </c>
      <c r="G478" s="404">
        <f t="shared" si="107"/>
        <v>33200</v>
      </c>
      <c r="H478" s="404">
        <f t="shared" si="107"/>
        <v>8506</v>
      </c>
      <c r="I478" s="404">
        <f t="shared" si="107"/>
        <v>63550</v>
      </c>
      <c r="J478" s="404">
        <f t="shared" si="107"/>
        <v>14417</v>
      </c>
      <c r="K478" s="404">
        <f t="shared" si="107"/>
        <v>28000</v>
      </c>
      <c r="L478" s="404">
        <f t="shared" si="107"/>
        <v>707611</v>
      </c>
      <c r="M478" s="404" t="e">
        <f>'03'!#REF!+'04'!#REF!</f>
        <v>#REF!</v>
      </c>
      <c r="N478" s="404" t="e">
        <f>C478-M478</f>
        <v>#REF!</v>
      </c>
      <c r="O478" s="404" t="e">
        <f>'07'!#REF!</f>
        <v>#REF!</v>
      </c>
      <c r="P478" s="404" t="e">
        <f>C478-O478</f>
        <v>#REF!</v>
      </c>
    </row>
    <row r="479" spans="1:16" ht="24.75" customHeight="1" hidden="1">
      <c r="A479" s="429">
        <v>1</v>
      </c>
      <c r="B479" s="430"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08" ref="N479:N493">C479-M479</f>
        <v>#REF!</v>
      </c>
      <c r="O479" s="409" t="e">
        <f>'07'!#REF!</f>
        <v>#REF!</v>
      </c>
      <c r="P479" s="409" t="e">
        <f aca="true" t="shared" si="109" ref="P479:P493">C479-O479</f>
        <v>#REF!</v>
      </c>
    </row>
    <row r="480" spans="1:16" ht="24.75" customHeight="1" hidden="1">
      <c r="A480" s="429">
        <v>2</v>
      </c>
      <c r="B480" s="430"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08"/>
        <v>#REF!</v>
      </c>
      <c r="O480" s="409" t="e">
        <f>'07'!#REF!</f>
        <v>#REF!</v>
      </c>
      <c r="P480" s="409" t="e">
        <f t="shared" si="109"/>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08"/>
        <v>#REF!</v>
      </c>
      <c r="O481" s="409" t="e">
        <f>'07'!#REF!</f>
        <v>#REF!</v>
      </c>
      <c r="P481" s="409" t="e">
        <f t="shared" si="109"/>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08"/>
        <v>#REF!</v>
      </c>
      <c r="O482" s="409" t="e">
        <f>'07'!#REF!</f>
        <v>#REF!</v>
      </c>
      <c r="P482" s="409" t="e">
        <f t="shared" si="109"/>
        <v>#REF!</v>
      </c>
    </row>
    <row r="483" spans="1:16" ht="24.75" customHeight="1" hidden="1">
      <c r="A483" s="394" t="s">
        <v>136</v>
      </c>
      <c r="B483" s="395" t="s">
        <v>137</v>
      </c>
      <c r="C483" s="404">
        <f>C484+C493</f>
        <v>921575</v>
      </c>
      <c r="D483" s="404">
        <f aca="true" t="shared" si="110" ref="D483:L483">D484+D493</f>
        <v>185964</v>
      </c>
      <c r="E483" s="404">
        <f t="shared" si="110"/>
        <v>66591</v>
      </c>
      <c r="F483" s="404">
        <f t="shared" si="110"/>
        <v>0</v>
      </c>
      <c r="G483" s="404">
        <f t="shared" si="110"/>
        <v>33200</v>
      </c>
      <c r="H483" s="404">
        <f t="shared" si="110"/>
        <v>8506</v>
      </c>
      <c r="I483" s="404">
        <f t="shared" si="110"/>
        <v>63250</v>
      </c>
      <c r="J483" s="404">
        <f t="shared" si="110"/>
        <v>14417</v>
      </c>
      <c r="K483" s="404">
        <f t="shared" si="110"/>
        <v>28000</v>
      </c>
      <c r="L483" s="404">
        <f t="shared" si="110"/>
        <v>707611</v>
      </c>
      <c r="M483" s="404" t="e">
        <f>'03'!#REF!+'04'!#REF!</f>
        <v>#REF!</v>
      </c>
      <c r="N483" s="404" t="e">
        <f t="shared" si="108"/>
        <v>#REF!</v>
      </c>
      <c r="O483" s="404" t="e">
        <f>'07'!#REF!</f>
        <v>#REF!</v>
      </c>
      <c r="P483" s="404" t="e">
        <f t="shared" si="109"/>
        <v>#REF!</v>
      </c>
    </row>
    <row r="484" spans="1:16" ht="24.75" customHeight="1" hidden="1">
      <c r="A484" s="394" t="s">
        <v>52</v>
      </c>
      <c r="B484" s="431" t="s">
        <v>138</v>
      </c>
      <c r="C484" s="404">
        <f>SUM(C485:C492)</f>
        <v>798931</v>
      </c>
      <c r="D484" s="404">
        <f aca="true" t="shared" si="111" ref="D484:L484">SUM(D485:D492)</f>
        <v>63320</v>
      </c>
      <c r="E484" s="404">
        <f t="shared" si="111"/>
        <v>40397</v>
      </c>
      <c r="F484" s="404">
        <f t="shared" si="111"/>
        <v>0</v>
      </c>
      <c r="G484" s="404">
        <f t="shared" si="111"/>
        <v>0</v>
      </c>
      <c r="H484" s="404">
        <f t="shared" si="111"/>
        <v>8506</v>
      </c>
      <c r="I484" s="404">
        <f t="shared" si="111"/>
        <v>0</v>
      </c>
      <c r="J484" s="404">
        <f t="shared" si="111"/>
        <v>14417</v>
      </c>
      <c r="K484" s="404">
        <f t="shared" si="111"/>
        <v>28000</v>
      </c>
      <c r="L484" s="404">
        <f t="shared" si="111"/>
        <v>707611</v>
      </c>
      <c r="M484" s="404" t="e">
        <f>'03'!#REF!+'04'!#REF!</f>
        <v>#REF!</v>
      </c>
      <c r="N484" s="404" t="e">
        <f t="shared" si="108"/>
        <v>#REF!</v>
      </c>
      <c r="O484" s="404" t="e">
        <f>'07'!#REF!</f>
        <v>#REF!</v>
      </c>
      <c r="P484" s="404" t="e">
        <f t="shared" si="109"/>
        <v>#REF!</v>
      </c>
    </row>
    <row r="485" spans="1:16" ht="24.75" customHeight="1" hidden="1">
      <c r="A485" s="429" t="s">
        <v>54</v>
      </c>
      <c r="B485" s="430" t="s">
        <v>139</v>
      </c>
      <c r="C485" s="404">
        <f aca="true" t="shared" si="112" ref="C485:C493">D485+K485+L485</f>
        <v>98600</v>
      </c>
      <c r="D485" s="404">
        <f aca="true" t="shared" si="113" ref="D485:D493">E485+F485+G485+H485+I485+J485</f>
        <v>34320</v>
      </c>
      <c r="E485" s="409">
        <v>11397</v>
      </c>
      <c r="F485" s="409"/>
      <c r="G485" s="409"/>
      <c r="H485" s="409">
        <v>8506</v>
      </c>
      <c r="I485" s="409"/>
      <c r="J485" s="409">
        <v>14417</v>
      </c>
      <c r="K485" s="409">
        <v>28000</v>
      </c>
      <c r="L485" s="409">
        <v>36280</v>
      </c>
      <c r="M485" s="409" t="e">
        <f>'03'!#REF!+'04'!#REF!</f>
        <v>#REF!</v>
      </c>
      <c r="N485" s="409" t="e">
        <f t="shared" si="108"/>
        <v>#REF!</v>
      </c>
      <c r="O485" s="409" t="e">
        <f>'07'!#REF!</f>
        <v>#REF!</v>
      </c>
      <c r="P485" s="409" t="e">
        <f t="shared" si="109"/>
        <v>#REF!</v>
      </c>
    </row>
    <row r="486" spans="1:16" ht="24.75" customHeight="1" hidden="1">
      <c r="A486" s="429" t="s">
        <v>55</v>
      </c>
      <c r="B486" s="430" t="s">
        <v>140</v>
      </c>
      <c r="C486" s="404">
        <f t="shared" si="112"/>
        <v>0</v>
      </c>
      <c r="D486" s="404">
        <f t="shared" si="113"/>
        <v>0</v>
      </c>
      <c r="E486" s="409"/>
      <c r="F486" s="409"/>
      <c r="G486" s="409"/>
      <c r="H486" s="409"/>
      <c r="I486" s="409"/>
      <c r="J486" s="409"/>
      <c r="K486" s="409"/>
      <c r="L486" s="409"/>
      <c r="M486" s="409" t="e">
        <f>'03'!#REF!+'04'!#REF!</f>
        <v>#REF!</v>
      </c>
      <c r="N486" s="409" t="e">
        <f t="shared" si="108"/>
        <v>#REF!</v>
      </c>
      <c r="O486" s="409" t="e">
        <f>'07'!#REF!</f>
        <v>#REF!</v>
      </c>
      <c r="P486" s="409" t="e">
        <f t="shared" si="109"/>
        <v>#REF!</v>
      </c>
    </row>
    <row r="487" spans="1:16" ht="24.75" customHeight="1" hidden="1">
      <c r="A487" s="429" t="s">
        <v>141</v>
      </c>
      <c r="B487" s="430" t="s">
        <v>202</v>
      </c>
      <c r="C487" s="404">
        <f t="shared" si="112"/>
        <v>0</v>
      </c>
      <c r="D487" s="404">
        <f t="shared" si="113"/>
        <v>0</v>
      </c>
      <c r="E487" s="409"/>
      <c r="F487" s="409"/>
      <c r="G487" s="409"/>
      <c r="H487" s="409"/>
      <c r="I487" s="409"/>
      <c r="J487" s="409"/>
      <c r="K487" s="409"/>
      <c r="L487" s="409"/>
      <c r="M487" s="409" t="e">
        <f>'03'!#REF!</f>
        <v>#REF!</v>
      </c>
      <c r="N487" s="409" t="e">
        <f t="shared" si="108"/>
        <v>#REF!</v>
      </c>
      <c r="O487" s="409" t="e">
        <f>'07'!#REF!</f>
        <v>#REF!</v>
      </c>
      <c r="P487" s="409" t="e">
        <f t="shared" si="109"/>
        <v>#REF!</v>
      </c>
    </row>
    <row r="488" spans="1:16" ht="24.75" customHeight="1" hidden="1">
      <c r="A488" s="429" t="s">
        <v>143</v>
      </c>
      <c r="B488" s="430" t="s">
        <v>142</v>
      </c>
      <c r="C488" s="404">
        <f t="shared" si="112"/>
        <v>236331</v>
      </c>
      <c r="D488" s="404">
        <f t="shared" si="113"/>
        <v>29000</v>
      </c>
      <c r="E488" s="409">
        <v>29000</v>
      </c>
      <c r="F488" s="409"/>
      <c r="G488" s="409"/>
      <c r="H488" s="409"/>
      <c r="I488" s="409"/>
      <c r="J488" s="409"/>
      <c r="K488" s="409"/>
      <c r="L488" s="409">
        <v>207331</v>
      </c>
      <c r="M488" s="409" t="e">
        <f>'03'!#REF!+'04'!#REF!</f>
        <v>#REF!</v>
      </c>
      <c r="N488" s="409" t="e">
        <f t="shared" si="108"/>
        <v>#REF!</v>
      </c>
      <c r="O488" s="409" t="e">
        <f>'07'!#REF!</f>
        <v>#REF!</v>
      </c>
      <c r="P488" s="409" t="e">
        <f t="shared" si="109"/>
        <v>#REF!</v>
      </c>
    </row>
    <row r="489" spans="1:16" ht="24.75" customHeight="1" hidden="1">
      <c r="A489" s="429" t="s">
        <v>145</v>
      </c>
      <c r="B489" s="430" t="s">
        <v>144</v>
      </c>
      <c r="C489" s="404">
        <f t="shared" si="112"/>
        <v>464000</v>
      </c>
      <c r="D489" s="404">
        <f t="shared" si="113"/>
        <v>0</v>
      </c>
      <c r="E489" s="409"/>
      <c r="F489" s="409"/>
      <c r="G489" s="409"/>
      <c r="H489" s="409"/>
      <c r="I489" s="409"/>
      <c r="J489" s="409"/>
      <c r="K489" s="409"/>
      <c r="L489" s="409">
        <v>464000</v>
      </c>
      <c r="M489" s="409" t="e">
        <f>'03'!#REF!+'04'!#REF!</f>
        <v>#REF!</v>
      </c>
      <c r="N489" s="409" t="e">
        <f t="shared" si="108"/>
        <v>#REF!</v>
      </c>
      <c r="O489" s="409" t="e">
        <f>'07'!#REF!</f>
        <v>#REF!</v>
      </c>
      <c r="P489" s="409" t="e">
        <f t="shared" si="109"/>
        <v>#REF!</v>
      </c>
    </row>
    <row r="490" spans="1:16" ht="24.75" customHeight="1" hidden="1">
      <c r="A490" s="429" t="s">
        <v>147</v>
      </c>
      <c r="B490" s="430" t="s">
        <v>146</v>
      </c>
      <c r="C490" s="404">
        <f t="shared" si="112"/>
        <v>0</v>
      </c>
      <c r="D490" s="404">
        <f t="shared" si="113"/>
        <v>0</v>
      </c>
      <c r="E490" s="409"/>
      <c r="F490" s="409"/>
      <c r="G490" s="409"/>
      <c r="H490" s="409"/>
      <c r="I490" s="409"/>
      <c r="J490" s="409"/>
      <c r="K490" s="409"/>
      <c r="L490" s="409"/>
      <c r="M490" s="409" t="e">
        <f>'03'!#REF!+'04'!#REF!</f>
        <v>#REF!</v>
      </c>
      <c r="N490" s="409" t="e">
        <f t="shared" si="108"/>
        <v>#REF!</v>
      </c>
      <c r="O490" s="409" t="e">
        <f>'07'!#REF!</f>
        <v>#REF!</v>
      </c>
      <c r="P490" s="409" t="e">
        <f t="shared" si="109"/>
        <v>#REF!</v>
      </c>
    </row>
    <row r="491" spans="1:16" ht="24.75" customHeight="1" hidden="1">
      <c r="A491" s="429" t="s">
        <v>149</v>
      </c>
      <c r="B491" s="432" t="s">
        <v>148</v>
      </c>
      <c r="C491" s="404">
        <f t="shared" si="112"/>
        <v>0</v>
      </c>
      <c r="D491" s="404">
        <f t="shared" si="113"/>
        <v>0</v>
      </c>
      <c r="E491" s="409"/>
      <c r="F491" s="409"/>
      <c r="G491" s="409"/>
      <c r="H491" s="409"/>
      <c r="I491" s="409"/>
      <c r="J491" s="409"/>
      <c r="K491" s="409"/>
      <c r="L491" s="409"/>
      <c r="M491" s="409" t="e">
        <f>'03'!#REF!+'04'!#REF!</f>
        <v>#REF!</v>
      </c>
      <c r="N491" s="409" t="e">
        <f t="shared" si="108"/>
        <v>#REF!</v>
      </c>
      <c r="O491" s="409" t="e">
        <f>'07'!#REF!</f>
        <v>#REF!</v>
      </c>
      <c r="P491" s="409" t="e">
        <f t="shared" si="109"/>
        <v>#REF!</v>
      </c>
    </row>
    <row r="492" spans="1:16" ht="24.75" customHeight="1" hidden="1">
      <c r="A492" s="429" t="s">
        <v>186</v>
      </c>
      <c r="B492" s="430" t="s">
        <v>150</v>
      </c>
      <c r="C492" s="404">
        <f t="shared" si="112"/>
        <v>0</v>
      </c>
      <c r="D492" s="404">
        <f t="shared" si="113"/>
        <v>0</v>
      </c>
      <c r="E492" s="409"/>
      <c r="F492" s="409"/>
      <c r="G492" s="409"/>
      <c r="H492" s="409"/>
      <c r="I492" s="409"/>
      <c r="J492" s="409"/>
      <c r="K492" s="409"/>
      <c r="L492" s="409"/>
      <c r="M492" s="409" t="e">
        <f>'03'!#REF!+'04'!#REF!</f>
        <v>#REF!</v>
      </c>
      <c r="N492" s="409" t="e">
        <f t="shared" si="108"/>
        <v>#REF!</v>
      </c>
      <c r="O492" s="409" t="e">
        <f>'07'!#REF!</f>
        <v>#REF!</v>
      </c>
      <c r="P492" s="409" t="e">
        <f t="shared" si="109"/>
        <v>#REF!</v>
      </c>
    </row>
    <row r="493" spans="1:16" ht="24.75" customHeight="1" hidden="1">
      <c r="A493" s="394" t="s">
        <v>53</v>
      </c>
      <c r="B493" s="395" t="s">
        <v>151</v>
      </c>
      <c r="C493" s="404">
        <f t="shared" si="112"/>
        <v>122644</v>
      </c>
      <c r="D493" s="404">
        <f t="shared" si="113"/>
        <v>122644</v>
      </c>
      <c r="E493" s="409">
        <v>26194</v>
      </c>
      <c r="F493" s="409"/>
      <c r="G493" s="409">
        <v>33200</v>
      </c>
      <c r="H493" s="409"/>
      <c r="I493" s="409">
        <v>63250</v>
      </c>
      <c r="J493" s="409"/>
      <c r="K493" s="409"/>
      <c r="L493" s="409"/>
      <c r="M493" s="404" t="e">
        <f>'03'!#REF!+'04'!#REF!</f>
        <v>#REF!</v>
      </c>
      <c r="N493" s="404" t="e">
        <f t="shared" si="108"/>
        <v>#REF!</v>
      </c>
      <c r="O493" s="404" t="e">
        <f>'07'!#REF!</f>
        <v>#REF!</v>
      </c>
      <c r="P493" s="404" t="e">
        <f t="shared" si="109"/>
        <v>#REF!</v>
      </c>
    </row>
    <row r="494" spans="1:16" ht="24.75" customHeight="1" hidden="1">
      <c r="A494" s="461" t="s">
        <v>76</v>
      </c>
      <c r="B494" s="489" t="s">
        <v>215</v>
      </c>
      <c r="C494" s="473">
        <f>(C485+C486+C487)/C484</f>
        <v>0.12341491317773375</v>
      </c>
      <c r="D494" s="396">
        <f aca="true" t="shared" si="114" ref="D494:L494">(D485+D486+D487)/D484</f>
        <v>0.542008843967151</v>
      </c>
      <c r="E494" s="412">
        <f t="shared" si="114"/>
        <v>0.28212491026561376</v>
      </c>
      <c r="F494" s="412" t="e">
        <f t="shared" si="114"/>
        <v>#DIV/0!</v>
      </c>
      <c r="G494" s="412" t="e">
        <f t="shared" si="114"/>
        <v>#DIV/0!</v>
      </c>
      <c r="H494" s="412">
        <f t="shared" si="114"/>
        <v>1</v>
      </c>
      <c r="I494" s="412" t="e">
        <f t="shared" si="114"/>
        <v>#DIV/0!</v>
      </c>
      <c r="J494" s="412">
        <f t="shared" si="114"/>
        <v>1</v>
      </c>
      <c r="K494" s="412">
        <f t="shared" si="114"/>
        <v>1</v>
      </c>
      <c r="L494" s="412">
        <f t="shared" si="114"/>
        <v>0.05127110799577734</v>
      </c>
      <c r="M494" s="423"/>
      <c r="N494" s="490"/>
      <c r="O494" s="490"/>
      <c r="P494" s="490"/>
    </row>
    <row r="495" spans="1:16" ht="17.25" hidden="1">
      <c r="A495" s="1288" t="s">
        <v>500</v>
      </c>
      <c r="B495" s="1288"/>
      <c r="C495" s="409">
        <f>C478-C481-C482-C483</f>
        <v>0</v>
      </c>
      <c r="D495" s="409">
        <f aca="true" t="shared" si="115" ref="D495:L495">D478-D481-D482-D483</f>
        <v>0</v>
      </c>
      <c r="E495" s="409">
        <f t="shared" si="115"/>
        <v>0</v>
      </c>
      <c r="F495" s="409">
        <f t="shared" si="115"/>
        <v>0</v>
      </c>
      <c r="G495" s="409">
        <f t="shared" si="115"/>
        <v>0</v>
      </c>
      <c r="H495" s="409">
        <f t="shared" si="115"/>
        <v>0</v>
      </c>
      <c r="I495" s="409">
        <f t="shared" si="115"/>
        <v>0</v>
      </c>
      <c r="J495" s="409">
        <f t="shared" si="115"/>
        <v>0</v>
      </c>
      <c r="K495" s="409">
        <f t="shared" si="115"/>
        <v>0</v>
      </c>
      <c r="L495" s="409">
        <f t="shared" si="115"/>
        <v>0</v>
      </c>
      <c r="M495" s="423"/>
      <c r="N495" s="490"/>
      <c r="O495" s="490"/>
      <c r="P495" s="490"/>
    </row>
    <row r="496" spans="1:16" ht="17.25" hidden="1">
      <c r="A496" s="1283" t="s">
        <v>501</v>
      </c>
      <c r="B496" s="1283"/>
      <c r="C496" s="409">
        <f>C483-C484-C493</f>
        <v>0</v>
      </c>
      <c r="D496" s="409">
        <f aca="true" t="shared" si="116" ref="D496:L496">D483-D484-D493</f>
        <v>0</v>
      </c>
      <c r="E496" s="409">
        <f t="shared" si="116"/>
        <v>0</v>
      </c>
      <c r="F496" s="409">
        <f t="shared" si="116"/>
        <v>0</v>
      </c>
      <c r="G496" s="409">
        <f t="shared" si="116"/>
        <v>0</v>
      </c>
      <c r="H496" s="409">
        <f t="shared" si="116"/>
        <v>0</v>
      </c>
      <c r="I496" s="409">
        <f t="shared" si="116"/>
        <v>0</v>
      </c>
      <c r="J496" s="409">
        <f t="shared" si="116"/>
        <v>0</v>
      </c>
      <c r="K496" s="409">
        <f t="shared" si="116"/>
        <v>0</v>
      </c>
      <c r="L496" s="409">
        <f t="shared" si="116"/>
        <v>0</v>
      </c>
      <c r="M496" s="423"/>
      <c r="N496" s="490"/>
      <c r="O496" s="490"/>
      <c r="P496" s="490"/>
    </row>
    <row r="497" spans="1:16" ht="18.75" hidden="1">
      <c r="A497" s="475"/>
      <c r="B497" s="491" t="s">
        <v>520</v>
      </c>
      <c r="C497" s="491"/>
      <c r="D497" s="464"/>
      <c r="E497" s="464"/>
      <c r="F497" s="464"/>
      <c r="G497" s="1280" t="s">
        <v>520</v>
      </c>
      <c r="H497" s="1280"/>
      <c r="I497" s="1280"/>
      <c r="J497" s="1280"/>
      <c r="K497" s="1280"/>
      <c r="L497" s="1280"/>
      <c r="M497" s="478"/>
      <c r="N497" s="478"/>
      <c r="O497" s="478"/>
      <c r="P497" s="478"/>
    </row>
    <row r="498" spans="1:16" ht="18.75" hidden="1">
      <c r="A498" s="1281" t="s">
        <v>4</v>
      </c>
      <c r="B498" s="1281"/>
      <c r="C498" s="1281"/>
      <c r="D498" s="1281"/>
      <c r="E498" s="464"/>
      <c r="F498" s="464"/>
      <c r="G498" s="492"/>
      <c r="H498" s="1282" t="s">
        <v>521</v>
      </c>
      <c r="I498" s="1282"/>
      <c r="J498" s="1282"/>
      <c r="K498" s="1282"/>
      <c r="L498" s="1282"/>
      <c r="M498" s="478"/>
      <c r="N498" s="478"/>
      <c r="O498" s="478"/>
      <c r="P498" s="478"/>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301" t="s">
        <v>33</v>
      </c>
      <c r="B511" s="1302"/>
      <c r="C511" s="474"/>
      <c r="D511" s="1303" t="s">
        <v>79</v>
      </c>
      <c r="E511" s="1303"/>
      <c r="F511" s="1303"/>
      <c r="G511" s="1303"/>
      <c r="H511" s="1303"/>
      <c r="I511" s="1303"/>
      <c r="J511" s="1303"/>
      <c r="K511" s="1294"/>
      <c r="L511" s="1294"/>
      <c r="M511" s="478"/>
    </row>
    <row r="512" spans="1:13" ht="16.5" hidden="1">
      <c r="A512" s="1270" t="s">
        <v>344</v>
      </c>
      <c r="B512" s="1270"/>
      <c r="C512" s="1270"/>
      <c r="D512" s="1303" t="s">
        <v>216</v>
      </c>
      <c r="E512" s="1303"/>
      <c r="F512" s="1303"/>
      <c r="G512" s="1303"/>
      <c r="H512" s="1303"/>
      <c r="I512" s="1303"/>
      <c r="J512" s="1303"/>
      <c r="K512" s="1299" t="s">
        <v>518</v>
      </c>
      <c r="L512" s="1299"/>
      <c r="M512" s="475"/>
    </row>
    <row r="513" spans="1:13" ht="16.5" hidden="1">
      <c r="A513" s="1270" t="s">
        <v>345</v>
      </c>
      <c r="B513" s="1270"/>
      <c r="C513" s="413"/>
      <c r="D513" s="1293" t="s">
        <v>554</v>
      </c>
      <c r="E513" s="1293"/>
      <c r="F513" s="1293"/>
      <c r="G513" s="1293"/>
      <c r="H513" s="1293"/>
      <c r="I513" s="1293"/>
      <c r="J513" s="1293"/>
      <c r="K513" s="1294"/>
      <c r="L513" s="1294"/>
      <c r="M513" s="478"/>
    </row>
    <row r="514" spans="1:13" ht="15.75" hidden="1">
      <c r="A514" s="434" t="s">
        <v>119</v>
      </c>
      <c r="B514" s="434"/>
      <c r="C514" s="419"/>
      <c r="D514" s="479"/>
      <c r="E514" s="479"/>
      <c r="F514" s="480"/>
      <c r="G514" s="480"/>
      <c r="H514" s="480"/>
      <c r="I514" s="480"/>
      <c r="J514" s="480"/>
      <c r="K514" s="1289"/>
      <c r="L514" s="1289"/>
      <c r="M514" s="475"/>
    </row>
    <row r="515" spans="1:13" ht="15.75" hidden="1">
      <c r="A515" s="479"/>
      <c r="B515" s="479" t="s">
        <v>94</v>
      </c>
      <c r="C515" s="479"/>
      <c r="D515" s="479"/>
      <c r="E515" s="479"/>
      <c r="F515" s="479"/>
      <c r="G515" s="479"/>
      <c r="H515" s="479"/>
      <c r="I515" s="479"/>
      <c r="J515" s="479"/>
      <c r="K515" s="1300"/>
      <c r="L515" s="1300"/>
      <c r="M515" s="475"/>
    </row>
    <row r="516" spans="1:13" ht="15.75" hidden="1">
      <c r="A516" s="932" t="s">
        <v>71</v>
      </c>
      <c r="B516" s="933"/>
      <c r="C516" s="1284" t="s">
        <v>38</v>
      </c>
      <c r="D516" s="1309" t="s">
        <v>339</v>
      </c>
      <c r="E516" s="1309"/>
      <c r="F516" s="1309"/>
      <c r="G516" s="1309"/>
      <c r="H516" s="1309"/>
      <c r="I516" s="1309"/>
      <c r="J516" s="1309"/>
      <c r="K516" s="1309"/>
      <c r="L516" s="1309"/>
      <c r="M516" s="478"/>
    </row>
    <row r="517" spans="1:13" ht="15.75" hidden="1">
      <c r="A517" s="934"/>
      <c r="B517" s="935"/>
      <c r="C517" s="1284"/>
      <c r="D517" s="1310" t="s">
        <v>207</v>
      </c>
      <c r="E517" s="1311"/>
      <c r="F517" s="1311"/>
      <c r="G517" s="1311"/>
      <c r="H517" s="1311"/>
      <c r="I517" s="1311"/>
      <c r="J517" s="1312"/>
      <c r="K517" s="1290" t="s">
        <v>208</v>
      </c>
      <c r="L517" s="1290" t="s">
        <v>209</v>
      </c>
      <c r="M517" s="475"/>
    </row>
    <row r="518" spans="1:13" ht="15.75" hidden="1">
      <c r="A518" s="934"/>
      <c r="B518" s="935"/>
      <c r="C518" s="1284"/>
      <c r="D518" s="1285" t="s">
        <v>37</v>
      </c>
      <c r="E518" s="1306" t="s">
        <v>7</v>
      </c>
      <c r="F518" s="1307"/>
      <c r="G518" s="1307"/>
      <c r="H518" s="1307"/>
      <c r="I518" s="1307"/>
      <c r="J518" s="1308"/>
      <c r="K518" s="1297"/>
      <c r="L518" s="1291"/>
      <c r="M518" s="475"/>
    </row>
    <row r="519" spans="1:16" ht="15.75" hidden="1">
      <c r="A519" s="1295"/>
      <c r="B519" s="1296"/>
      <c r="C519" s="1284"/>
      <c r="D519" s="1285"/>
      <c r="E519" s="481" t="s">
        <v>210</v>
      </c>
      <c r="F519" s="481" t="s">
        <v>211</v>
      </c>
      <c r="G519" s="481" t="s">
        <v>212</v>
      </c>
      <c r="H519" s="481" t="s">
        <v>213</v>
      </c>
      <c r="I519" s="481" t="s">
        <v>346</v>
      </c>
      <c r="J519" s="481" t="s">
        <v>214</v>
      </c>
      <c r="K519" s="1298"/>
      <c r="L519" s="1292"/>
      <c r="M519" s="1305" t="s">
        <v>502</v>
      </c>
      <c r="N519" s="1305"/>
      <c r="O519" s="1305"/>
      <c r="P519" s="1305"/>
    </row>
    <row r="520" spans="1:16" ht="15" hidden="1">
      <c r="A520" s="1286" t="s">
        <v>6</v>
      </c>
      <c r="B520" s="1287"/>
      <c r="C520" s="482">
        <v>1</v>
      </c>
      <c r="D520" s="483">
        <v>2</v>
      </c>
      <c r="E520" s="482">
        <v>3</v>
      </c>
      <c r="F520" s="483">
        <v>4</v>
      </c>
      <c r="G520" s="482">
        <v>5</v>
      </c>
      <c r="H520" s="483">
        <v>6</v>
      </c>
      <c r="I520" s="482">
        <v>7</v>
      </c>
      <c r="J520" s="483">
        <v>8</v>
      </c>
      <c r="K520" s="482">
        <v>9</v>
      </c>
      <c r="L520" s="483">
        <v>10</v>
      </c>
      <c r="M520" s="484" t="s">
        <v>503</v>
      </c>
      <c r="N520" s="485" t="s">
        <v>506</v>
      </c>
      <c r="O520" s="485" t="s">
        <v>504</v>
      </c>
      <c r="P520" s="485" t="s">
        <v>505</v>
      </c>
    </row>
    <row r="521" spans="1:16" ht="24.75" customHeight="1" hidden="1">
      <c r="A521" s="426" t="s">
        <v>0</v>
      </c>
      <c r="B521" s="427" t="s">
        <v>131</v>
      </c>
      <c r="C521" s="404">
        <f>C522+C523</f>
        <v>1489506</v>
      </c>
      <c r="D521" s="404">
        <f aca="true" t="shared" si="117" ref="D521:L521">D522+D523</f>
        <v>1316506</v>
      </c>
      <c r="E521" s="404">
        <f t="shared" si="117"/>
        <v>194963</v>
      </c>
      <c r="F521" s="404">
        <f t="shared" si="117"/>
        <v>0</v>
      </c>
      <c r="G521" s="404">
        <f t="shared" si="117"/>
        <v>98361</v>
      </c>
      <c r="H521" s="404">
        <f t="shared" si="117"/>
        <v>1018454</v>
      </c>
      <c r="I521" s="404">
        <f t="shared" si="117"/>
        <v>0</v>
      </c>
      <c r="J521" s="404">
        <f t="shared" si="117"/>
        <v>4728</v>
      </c>
      <c r="K521" s="404">
        <f t="shared" si="117"/>
        <v>0</v>
      </c>
      <c r="L521" s="404">
        <f t="shared" si="117"/>
        <v>173000</v>
      </c>
      <c r="M521" s="404" t="e">
        <f>'03'!#REF!+'04'!#REF!</f>
        <v>#REF!</v>
      </c>
      <c r="N521" s="404" t="e">
        <f>C521-M521</f>
        <v>#REF!</v>
      </c>
      <c r="O521" s="404" t="e">
        <f>'07'!#REF!</f>
        <v>#REF!</v>
      </c>
      <c r="P521" s="404" t="e">
        <f>C521-O521</f>
        <v>#REF!</v>
      </c>
    </row>
    <row r="522" spans="1:16" ht="24.75" customHeight="1" hidden="1">
      <c r="A522" s="429">
        <v>1</v>
      </c>
      <c r="B522" s="430"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18" ref="N522:N536">C522-M522</f>
        <v>#REF!</v>
      </c>
      <c r="O522" s="409" t="e">
        <f>'07'!#REF!</f>
        <v>#REF!</v>
      </c>
      <c r="P522" s="409" t="e">
        <f aca="true" t="shared" si="119" ref="P522:P536">C522-O522</f>
        <v>#REF!</v>
      </c>
    </row>
    <row r="523" spans="1:16" ht="24.75" customHeight="1" hidden="1">
      <c r="A523" s="429">
        <v>2</v>
      </c>
      <c r="B523" s="430"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18"/>
        <v>#REF!</v>
      </c>
      <c r="O523" s="409" t="e">
        <f>'07'!#REF!</f>
        <v>#REF!</v>
      </c>
      <c r="P523" s="409" t="e">
        <f t="shared" si="119"/>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18"/>
        <v>#REF!</v>
      </c>
      <c r="O524" s="409" t="e">
        <f>'07'!#REF!</f>
        <v>#REF!</v>
      </c>
      <c r="P524" s="409" t="e">
        <f t="shared" si="119"/>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18"/>
        <v>#REF!</v>
      </c>
      <c r="O525" s="409" t="e">
        <f>'07'!#REF!</f>
        <v>#REF!</v>
      </c>
      <c r="P525" s="409" t="e">
        <f t="shared" si="119"/>
        <v>#REF!</v>
      </c>
    </row>
    <row r="526" spans="1:16" ht="24.75" customHeight="1" hidden="1">
      <c r="A526" s="394" t="s">
        <v>136</v>
      </c>
      <c r="B526" s="395" t="s">
        <v>137</v>
      </c>
      <c r="C526" s="404">
        <f>C527+C536</f>
        <v>1468106</v>
      </c>
      <c r="D526" s="404">
        <f aca="true" t="shared" si="120" ref="D526:L526">D527+D536</f>
        <v>1295106</v>
      </c>
      <c r="E526" s="404">
        <f t="shared" si="120"/>
        <v>193563</v>
      </c>
      <c r="F526" s="404">
        <f t="shared" si="120"/>
        <v>0</v>
      </c>
      <c r="G526" s="404">
        <f t="shared" si="120"/>
        <v>78361</v>
      </c>
      <c r="H526" s="404">
        <f t="shared" si="120"/>
        <v>1018454</v>
      </c>
      <c r="I526" s="404">
        <f t="shared" si="120"/>
        <v>0</v>
      </c>
      <c r="J526" s="404">
        <f t="shared" si="120"/>
        <v>4728</v>
      </c>
      <c r="K526" s="404">
        <f t="shared" si="120"/>
        <v>0</v>
      </c>
      <c r="L526" s="404">
        <f t="shared" si="120"/>
        <v>173000</v>
      </c>
      <c r="M526" s="404" t="e">
        <f>'03'!#REF!+'04'!#REF!</f>
        <v>#REF!</v>
      </c>
      <c r="N526" s="404" t="e">
        <f t="shared" si="118"/>
        <v>#REF!</v>
      </c>
      <c r="O526" s="404" t="e">
        <f>'07'!#REF!</f>
        <v>#REF!</v>
      </c>
      <c r="P526" s="404" t="e">
        <f t="shared" si="119"/>
        <v>#REF!</v>
      </c>
    </row>
    <row r="527" spans="1:16" ht="24.75" customHeight="1" hidden="1">
      <c r="A527" s="394" t="s">
        <v>52</v>
      </c>
      <c r="B527" s="431" t="s">
        <v>138</v>
      </c>
      <c r="C527" s="404">
        <f>SUM(C528:C535)</f>
        <v>421719</v>
      </c>
      <c r="D527" s="404">
        <f aca="true" t="shared" si="121" ref="D527:L527">SUM(D528:D535)</f>
        <v>248719</v>
      </c>
      <c r="E527" s="404">
        <f t="shared" si="121"/>
        <v>158537</v>
      </c>
      <c r="F527" s="404">
        <f t="shared" si="121"/>
        <v>0</v>
      </c>
      <c r="G527" s="404">
        <f t="shared" si="121"/>
        <v>41000</v>
      </c>
      <c r="H527" s="404">
        <f t="shared" si="121"/>
        <v>44454</v>
      </c>
      <c r="I527" s="404">
        <f t="shared" si="121"/>
        <v>0</v>
      </c>
      <c r="J527" s="404">
        <f t="shared" si="121"/>
        <v>4728</v>
      </c>
      <c r="K527" s="404">
        <f t="shared" si="121"/>
        <v>0</v>
      </c>
      <c r="L527" s="404">
        <f t="shared" si="121"/>
        <v>173000</v>
      </c>
      <c r="M527" s="404" t="e">
        <f>'03'!#REF!+'04'!#REF!</f>
        <v>#REF!</v>
      </c>
      <c r="N527" s="404" t="e">
        <f t="shared" si="118"/>
        <v>#REF!</v>
      </c>
      <c r="O527" s="404" t="e">
        <f>'07'!#REF!</f>
        <v>#REF!</v>
      </c>
      <c r="P527" s="404" t="e">
        <f t="shared" si="119"/>
        <v>#REF!</v>
      </c>
    </row>
    <row r="528" spans="1:16" ht="24.75" customHeight="1" hidden="1">
      <c r="A528" s="429" t="s">
        <v>54</v>
      </c>
      <c r="B528" s="430" t="s">
        <v>139</v>
      </c>
      <c r="C528" s="404">
        <f aca="true" t="shared" si="122" ref="C528:C536">D528+K528+L528</f>
        <v>57757</v>
      </c>
      <c r="D528" s="404">
        <f aca="true" t="shared" si="123" ref="D528:D536">E528+F528+G528+H528+I528+J528</f>
        <v>57757</v>
      </c>
      <c r="E528" s="409">
        <v>4875</v>
      </c>
      <c r="F528" s="409">
        <v>0</v>
      </c>
      <c r="G528" s="409">
        <v>6700</v>
      </c>
      <c r="H528" s="409">
        <v>41454</v>
      </c>
      <c r="I528" s="409">
        <v>0</v>
      </c>
      <c r="J528" s="409">
        <v>4728</v>
      </c>
      <c r="K528" s="409">
        <v>0</v>
      </c>
      <c r="L528" s="409">
        <v>0</v>
      </c>
      <c r="M528" s="409" t="e">
        <f>'03'!#REF!+'04'!#REF!</f>
        <v>#REF!</v>
      </c>
      <c r="N528" s="409" t="e">
        <f t="shared" si="118"/>
        <v>#REF!</v>
      </c>
      <c r="O528" s="409" t="e">
        <f>'07'!#REF!</f>
        <v>#REF!</v>
      </c>
      <c r="P528" s="409" t="e">
        <f t="shared" si="119"/>
        <v>#REF!</v>
      </c>
    </row>
    <row r="529" spans="1:16" ht="24.75" customHeight="1" hidden="1">
      <c r="A529" s="429" t="s">
        <v>55</v>
      </c>
      <c r="B529" s="430" t="s">
        <v>140</v>
      </c>
      <c r="C529" s="404">
        <f t="shared" si="122"/>
        <v>0</v>
      </c>
      <c r="D529" s="404">
        <f t="shared" si="123"/>
        <v>0</v>
      </c>
      <c r="E529" s="409">
        <v>0</v>
      </c>
      <c r="F529" s="409">
        <v>0</v>
      </c>
      <c r="G529" s="409">
        <v>0</v>
      </c>
      <c r="H529" s="409">
        <v>0</v>
      </c>
      <c r="I529" s="409">
        <v>0</v>
      </c>
      <c r="J529" s="409">
        <v>0</v>
      </c>
      <c r="K529" s="409">
        <v>0</v>
      </c>
      <c r="L529" s="409">
        <v>0</v>
      </c>
      <c r="M529" s="409" t="e">
        <f>'03'!#REF!+'04'!#REF!</f>
        <v>#REF!</v>
      </c>
      <c r="N529" s="409" t="e">
        <f t="shared" si="118"/>
        <v>#REF!</v>
      </c>
      <c r="O529" s="409" t="e">
        <f>'07'!#REF!</f>
        <v>#REF!</v>
      </c>
      <c r="P529" s="409" t="e">
        <f t="shared" si="119"/>
        <v>#REF!</v>
      </c>
    </row>
    <row r="530" spans="1:16" ht="24.75" customHeight="1" hidden="1">
      <c r="A530" s="429" t="s">
        <v>141</v>
      </c>
      <c r="B530" s="430" t="s">
        <v>202</v>
      </c>
      <c r="C530" s="404">
        <f t="shared" si="122"/>
        <v>0</v>
      </c>
      <c r="D530" s="404">
        <f t="shared" si="123"/>
        <v>0</v>
      </c>
      <c r="E530" s="409">
        <v>0</v>
      </c>
      <c r="F530" s="409">
        <v>0</v>
      </c>
      <c r="G530" s="409">
        <v>0</v>
      </c>
      <c r="H530" s="409">
        <v>0</v>
      </c>
      <c r="I530" s="409">
        <v>0</v>
      </c>
      <c r="J530" s="409">
        <v>0</v>
      </c>
      <c r="K530" s="409">
        <v>0</v>
      </c>
      <c r="L530" s="409">
        <v>0</v>
      </c>
      <c r="M530" s="409" t="e">
        <f>'03'!#REF!</f>
        <v>#REF!</v>
      </c>
      <c r="N530" s="409" t="e">
        <f t="shared" si="118"/>
        <v>#REF!</v>
      </c>
      <c r="O530" s="409" t="e">
        <f>'07'!#REF!</f>
        <v>#REF!</v>
      </c>
      <c r="P530" s="409" t="e">
        <f t="shared" si="119"/>
        <v>#REF!</v>
      </c>
    </row>
    <row r="531" spans="1:16" ht="24.75" customHeight="1" hidden="1">
      <c r="A531" s="429" t="s">
        <v>143</v>
      </c>
      <c r="B531" s="430" t="s">
        <v>142</v>
      </c>
      <c r="C531" s="404">
        <f t="shared" si="122"/>
        <v>213822</v>
      </c>
      <c r="D531" s="404">
        <f t="shared" si="123"/>
        <v>40822</v>
      </c>
      <c r="E531" s="409">
        <v>3522</v>
      </c>
      <c r="F531" s="409">
        <v>0</v>
      </c>
      <c r="G531" s="409">
        <v>34300</v>
      </c>
      <c r="H531" s="409">
        <v>3000</v>
      </c>
      <c r="I531" s="409">
        <v>0</v>
      </c>
      <c r="J531" s="409">
        <v>0</v>
      </c>
      <c r="K531" s="409">
        <v>0</v>
      </c>
      <c r="L531" s="409">
        <v>173000</v>
      </c>
      <c r="M531" s="409" t="e">
        <f>'03'!#REF!+'04'!#REF!</f>
        <v>#REF!</v>
      </c>
      <c r="N531" s="409" t="e">
        <f t="shared" si="118"/>
        <v>#REF!</v>
      </c>
      <c r="O531" s="409" t="e">
        <f>'07'!#REF!</f>
        <v>#REF!</v>
      </c>
      <c r="P531" s="409" t="e">
        <f t="shared" si="119"/>
        <v>#REF!</v>
      </c>
    </row>
    <row r="532" spans="1:16" ht="24.75" customHeight="1" hidden="1">
      <c r="A532" s="429" t="s">
        <v>145</v>
      </c>
      <c r="B532" s="430" t="s">
        <v>144</v>
      </c>
      <c r="C532" s="404">
        <f t="shared" si="122"/>
        <v>0</v>
      </c>
      <c r="D532" s="404">
        <f t="shared" si="123"/>
        <v>0</v>
      </c>
      <c r="E532" s="409">
        <v>0</v>
      </c>
      <c r="F532" s="409">
        <v>0</v>
      </c>
      <c r="G532" s="409">
        <v>0</v>
      </c>
      <c r="H532" s="409">
        <v>0</v>
      </c>
      <c r="I532" s="409">
        <v>0</v>
      </c>
      <c r="J532" s="409">
        <v>0</v>
      </c>
      <c r="K532" s="409">
        <v>0</v>
      </c>
      <c r="L532" s="409">
        <v>0</v>
      </c>
      <c r="M532" s="409" t="e">
        <f>'03'!#REF!+'04'!#REF!</f>
        <v>#REF!</v>
      </c>
      <c r="N532" s="409" t="e">
        <f t="shared" si="118"/>
        <v>#REF!</v>
      </c>
      <c r="O532" s="409" t="e">
        <f>'07'!#REF!</f>
        <v>#REF!</v>
      </c>
      <c r="P532" s="409" t="e">
        <f t="shared" si="119"/>
        <v>#REF!</v>
      </c>
    </row>
    <row r="533" spans="1:16" ht="24.75" customHeight="1" hidden="1">
      <c r="A533" s="429" t="s">
        <v>147</v>
      </c>
      <c r="B533" s="430" t="s">
        <v>146</v>
      </c>
      <c r="C533" s="404">
        <f t="shared" si="122"/>
        <v>150140</v>
      </c>
      <c r="D533" s="404">
        <f t="shared" si="123"/>
        <v>150140</v>
      </c>
      <c r="E533" s="409">
        <v>150140</v>
      </c>
      <c r="F533" s="409">
        <v>0</v>
      </c>
      <c r="G533" s="409">
        <v>0</v>
      </c>
      <c r="H533" s="409">
        <v>0</v>
      </c>
      <c r="I533" s="409">
        <v>0</v>
      </c>
      <c r="J533" s="409">
        <v>0</v>
      </c>
      <c r="K533" s="409">
        <v>0</v>
      </c>
      <c r="L533" s="409">
        <v>0</v>
      </c>
      <c r="M533" s="409" t="e">
        <f>'03'!#REF!+'04'!#REF!</f>
        <v>#REF!</v>
      </c>
      <c r="N533" s="409" t="e">
        <f t="shared" si="118"/>
        <v>#REF!</v>
      </c>
      <c r="O533" s="409" t="e">
        <f>'07'!#REF!</f>
        <v>#REF!</v>
      </c>
      <c r="P533" s="409" t="e">
        <f t="shared" si="119"/>
        <v>#REF!</v>
      </c>
    </row>
    <row r="534" spans="1:16" ht="24.75" customHeight="1" hidden="1">
      <c r="A534" s="429" t="s">
        <v>149</v>
      </c>
      <c r="B534" s="432" t="s">
        <v>148</v>
      </c>
      <c r="C534" s="404">
        <f t="shared" si="122"/>
        <v>0</v>
      </c>
      <c r="D534" s="404">
        <f t="shared" si="123"/>
        <v>0</v>
      </c>
      <c r="E534" s="409">
        <v>0</v>
      </c>
      <c r="F534" s="409">
        <v>0</v>
      </c>
      <c r="G534" s="409">
        <v>0</v>
      </c>
      <c r="H534" s="409">
        <v>0</v>
      </c>
      <c r="I534" s="409">
        <v>0</v>
      </c>
      <c r="J534" s="409">
        <v>0</v>
      </c>
      <c r="K534" s="409">
        <v>0</v>
      </c>
      <c r="L534" s="409">
        <v>0</v>
      </c>
      <c r="M534" s="409" t="e">
        <f>'03'!#REF!+'04'!#REF!</f>
        <v>#REF!</v>
      </c>
      <c r="N534" s="409" t="e">
        <f t="shared" si="118"/>
        <v>#REF!</v>
      </c>
      <c r="O534" s="409" t="e">
        <f>'07'!#REF!</f>
        <v>#REF!</v>
      </c>
      <c r="P534" s="409" t="e">
        <f t="shared" si="119"/>
        <v>#REF!</v>
      </c>
    </row>
    <row r="535" spans="1:16" ht="24.75" customHeight="1" hidden="1">
      <c r="A535" s="429" t="s">
        <v>186</v>
      </c>
      <c r="B535" s="430" t="s">
        <v>150</v>
      </c>
      <c r="C535" s="404">
        <f t="shared" si="122"/>
        <v>0</v>
      </c>
      <c r="D535" s="404">
        <f t="shared" si="123"/>
        <v>0</v>
      </c>
      <c r="E535" s="409">
        <v>0</v>
      </c>
      <c r="F535" s="409">
        <v>0</v>
      </c>
      <c r="G535" s="409">
        <v>0</v>
      </c>
      <c r="H535" s="409">
        <v>0</v>
      </c>
      <c r="I535" s="409">
        <v>0</v>
      </c>
      <c r="J535" s="409">
        <v>0</v>
      </c>
      <c r="K535" s="409">
        <v>0</v>
      </c>
      <c r="L535" s="409">
        <v>0</v>
      </c>
      <c r="M535" s="409" t="e">
        <f>'03'!#REF!+'04'!#REF!</f>
        <v>#REF!</v>
      </c>
      <c r="N535" s="409" t="e">
        <f t="shared" si="118"/>
        <v>#REF!</v>
      </c>
      <c r="O535" s="409" t="e">
        <f>'07'!#REF!</f>
        <v>#REF!</v>
      </c>
      <c r="P535" s="409" t="e">
        <f t="shared" si="119"/>
        <v>#REF!</v>
      </c>
    </row>
    <row r="536" spans="1:16" ht="24.75" customHeight="1" hidden="1">
      <c r="A536" s="394" t="s">
        <v>53</v>
      </c>
      <c r="B536" s="395" t="s">
        <v>151</v>
      </c>
      <c r="C536" s="404">
        <f t="shared" si="122"/>
        <v>1046387</v>
      </c>
      <c r="D536" s="404">
        <f t="shared" si="123"/>
        <v>1046387</v>
      </c>
      <c r="E536" s="409">
        <v>35026</v>
      </c>
      <c r="F536" s="409">
        <v>0</v>
      </c>
      <c r="G536" s="409">
        <v>37361</v>
      </c>
      <c r="H536" s="409">
        <v>974000</v>
      </c>
      <c r="I536" s="409">
        <v>0</v>
      </c>
      <c r="J536" s="409">
        <v>0</v>
      </c>
      <c r="K536" s="409">
        <v>0</v>
      </c>
      <c r="L536" s="409">
        <v>0</v>
      </c>
      <c r="M536" s="404" t="e">
        <f>'03'!#REF!+'04'!#REF!</f>
        <v>#REF!</v>
      </c>
      <c r="N536" s="404" t="e">
        <f t="shared" si="118"/>
        <v>#REF!</v>
      </c>
      <c r="O536" s="404" t="e">
        <f>'07'!#REF!</f>
        <v>#REF!</v>
      </c>
      <c r="P536" s="404" t="e">
        <f t="shared" si="119"/>
        <v>#REF!</v>
      </c>
    </row>
    <row r="537" spans="1:16" ht="24.75" customHeight="1" hidden="1">
      <c r="A537" s="461" t="s">
        <v>76</v>
      </c>
      <c r="B537" s="489" t="s">
        <v>215</v>
      </c>
      <c r="C537" s="473">
        <f>(C528+C529+C530)/C527</f>
        <v>0.13695612481296787</v>
      </c>
      <c r="D537" s="396">
        <f aca="true" t="shared" si="124" ref="D537:L537">(D528+D529+D530)/D527</f>
        <v>0.2322178844398699</v>
      </c>
      <c r="E537" s="412">
        <f t="shared" si="124"/>
        <v>0.030749919577133415</v>
      </c>
      <c r="F537" s="412" t="e">
        <f t="shared" si="124"/>
        <v>#DIV/0!</v>
      </c>
      <c r="G537" s="412">
        <f t="shared" si="124"/>
        <v>0.16341463414634147</v>
      </c>
      <c r="H537" s="412">
        <f t="shared" si="124"/>
        <v>0.9325145093804832</v>
      </c>
      <c r="I537" s="412" t="e">
        <f t="shared" si="124"/>
        <v>#DIV/0!</v>
      </c>
      <c r="J537" s="412">
        <f t="shared" si="124"/>
        <v>1</v>
      </c>
      <c r="K537" s="412" t="e">
        <f t="shared" si="124"/>
        <v>#DIV/0!</v>
      </c>
      <c r="L537" s="412">
        <f t="shared" si="124"/>
        <v>0</v>
      </c>
      <c r="M537" s="423"/>
      <c r="N537" s="490"/>
      <c r="O537" s="490"/>
      <c r="P537" s="490"/>
    </row>
    <row r="538" spans="1:16" ht="17.25" hidden="1">
      <c r="A538" s="1288" t="s">
        <v>500</v>
      </c>
      <c r="B538" s="1288"/>
      <c r="C538" s="409">
        <f>C521-C524-C525-C526</f>
        <v>0</v>
      </c>
      <c r="D538" s="409">
        <f aca="true" t="shared" si="125" ref="D538:L538">D521-D524-D525-D526</f>
        <v>0</v>
      </c>
      <c r="E538" s="409">
        <f t="shared" si="125"/>
        <v>0</v>
      </c>
      <c r="F538" s="409">
        <f t="shared" si="125"/>
        <v>0</v>
      </c>
      <c r="G538" s="409">
        <f t="shared" si="125"/>
        <v>0</v>
      </c>
      <c r="H538" s="409">
        <f t="shared" si="125"/>
        <v>0</v>
      </c>
      <c r="I538" s="409">
        <f t="shared" si="125"/>
        <v>0</v>
      </c>
      <c r="J538" s="409">
        <f t="shared" si="125"/>
        <v>0</v>
      </c>
      <c r="K538" s="409">
        <f t="shared" si="125"/>
        <v>0</v>
      </c>
      <c r="L538" s="409">
        <f t="shared" si="125"/>
        <v>0</v>
      </c>
      <c r="M538" s="423"/>
      <c r="N538" s="490"/>
      <c r="O538" s="490"/>
      <c r="P538" s="490"/>
    </row>
    <row r="539" spans="1:16" ht="17.25" hidden="1">
      <c r="A539" s="1283" t="s">
        <v>501</v>
      </c>
      <c r="B539" s="1283"/>
      <c r="C539" s="409">
        <f>C526-C527-C536</f>
        <v>0</v>
      </c>
      <c r="D539" s="409">
        <f aca="true" t="shared" si="126" ref="D539:L539">D526-D527-D536</f>
        <v>0</v>
      </c>
      <c r="E539" s="409">
        <f t="shared" si="126"/>
        <v>0</v>
      </c>
      <c r="F539" s="409">
        <f t="shared" si="126"/>
        <v>0</v>
      </c>
      <c r="G539" s="409">
        <f t="shared" si="126"/>
        <v>0</v>
      </c>
      <c r="H539" s="409">
        <f t="shared" si="126"/>
        <v>0</v>
      </c>
      <c r="I539" s="409">
        <f t="shared" si="126"/>
        <v>0</v>
      </c>
      <c r="J539" s="409">
        <f t="shared" si="126"/>
        <v>0</v>
      </c>
      <c r="K539" s="409">
        <f t="shared" si="126"/>
        <v>0</v>
      </c>
      <c r="L539" s="409">
        <f t="shared" si="126"/>
        <v>0</v>
      </c>
      <c r="M539" s="423"/>
      <c r="N539" s="490"/>
      <c r="O539" s="490"/>
      <c r="P539" s="490"/>
    </row>
    <row r="540" spans="1:16" ht="18.75" hidden="1">
      <c r="A540" s="475"/>
      <c r="B540" s="491" t="s">
        <v>520</v>
      </c>
      <c r="C540" s="491"/>
      <c r="D540" s="464"/>
      <c r="E540" s="464"/>
      <c r="F540" s="464"/>
      <c r="G540" s="1280" t="s">
        <v>520</v>
      </c>
      <c r="H540" s="1280"/>
      <c r="I540" s="1280"/>
      <c r="J540" s="1280"/>
      <c r="K540" s="1280"/>
      <c r="L540" s="1280"/>
      <c r="M540" s="478"/>
      <c r="N540" s="478"/>
      <c r="O540" s="478"/>
      <c r="P540" s="478"/>
    </row>
    <row r="541" spans="1:16" ht="18.75" hidden="1">
      <c r="A541" s="1281" t="s">
        <v>4</v>
      </c>
      <c r="B541" s="1281"/>
      <c r="C541" s="1281"/>
      <c r="D541" s="1281"/>
      <c r="E541" s="464"/>
      <c r="F541" s="464"/>
      <c r="G541" s="492"/>
      <c r="H541" s="1282" t="s">
        <v>521</v>
      </c>
      <c r="I541" s="1282"/>
      <c r="J541" s="1282"/>
      <c r="K541" s="1282"/>
      <c r="L541" s="1282"/>
      <c r="M541" s="478"/>
      <c r="N541" s="478"/>
      <c r="O541" s="478"/>
      <c r="P541" s="478"/>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D3:J3"/>
    <mergeCell ref="K3:L3"/>
    <mergeCell ref="M9:P9"/>
    <mergeCell ref="B32:C32"/>
    <mergeCell ref="C6:C9"/>
    <mergeCell ref="D8:D9"/>
    <mergeCell ref="A10:B10"/>
    <mergeCell ref="A6:B9"/>
    <mergeCell ref="A28:B28"/>
    <mergeCell ref="A29:B29"/>
    <mergeCell ref="G32:L32"/>
    <mergeCell ref="I30:L30"/>
    <mergeCell ref="D6:L6"/>
    <mergeCell ref="D7:J7"/>
    <mergeCell ref="K7:K9"/>
    <mergeCell ref="L7:L9"/>
    <mergeCell ref="E8:J8"/>
    <mergeCell ref="A31:D31"/>
    <mergeCell ref="H31:L31"/>
    <mergeCell ref="A3:B3"/>
    <mergeCell ref="D1:J1"/>
    <mergeCell ref="K4:L4"/>
    <mergeCell ref="K5:L5"/>
    <mergeCell ref="K1:L1"/>
    <mergeCell ref="A2:C2"/>
    <mergeCell ref="D2:J2"/>
    <mergeCell ref="K2:L2"/>
    <mergeCell ref="E5:I5"/>
    <mergeCell ref="A1:B1"/>
    <mergeCell ref="B34:C34"/>
    <mergeCell ref="A48:C48"/>
    <mergeCell ref="D48:J48"/>
    <mergeCell ref="K48:L48"/>
    <mergeCell ref="A47:B47"/>
    <mergeCell ref="D47:J47"/>
    <mergeCell ref="K47:L47"/>
    <mergeCell ref="A39:D39"/>
    <mergeCell ref="H39:L39"/>
    <mergeCell ref="M55:P55"/>
    <mergeCell ref="A56:B56"/>
    <mergeCell ref="A74:B74"/>
    <mergeCell ref="A49:B49"/>
    <mergeCell ref="D49:J49"/>
    <mergeCell ref="K49:L49"/>
    <mergeCell ref="K50:L50"/>
    <mergeCell ref="K51:L51"/>
    <mergeCell ref="A52:B55"/>
    <mergeCell ref="C52:C55"/>
    <mergeCell ref="D88:J88"/>
    <mergeCell ref="K88:L88"/>
    <mergeCell ref="D52:L52"/>
    <mergeCell ref="D53:J53"/>
    <mergeCell ref="K53:K55"/>
    <mergeCell ref="G76:L76"/>
    <mergeCell ref="A77:D77"/>
    <mergeCell ref="H77:L77"/>
    <mergeCell ref="A75:B75"/>
    <mergeCell ref="A93:B96"/>
    <mergeCell ref="C93:C96"/>
    <mergeCell ref="L53:L55"/>
    <mergeCell ref="D54:D55"/>
    <mergeCell ref="E54:J54"/>
    <mergeCell ref="A97:B97"/>
    <mergeCell ref="A89:C89"/>
    <mergeCell ref="D89:J89"/>
    <mergeCell ref="K89:L89"/>
    <mergeCell ref="A88:B88"/>
    <mergeCell ref="M96:P96"/>
    <mergeCell ref="K90:L90"/>
    <mergeCell ref="K91:L91"/>
    <mergeCell ref="K92:L92"/>
    <mergeCell ref="A115:B115"/>
    <mergeCell ref="A90:B90"/>
    <mergeCell ref="D90:J90"/>
    <mergeCell ref="D93:L93"/>
    <mergeCell ref="D94:J94"/>
    <mergeCell ref="K94:K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61:D161"/>
    <mergeCell ref="H161:L161"/>
    <mergeCell ref="K134:L134"/>
    <mergeCell ref="K135:L135"/>
    <mergeCell ref="A136:B139"/>
    <mergeCell ref="C136:C139"/>
    <mergeCell ref="A133:B133"/>
    <mergeCell ref="K133:L133"/>
    <mergeCell ref="G160:L160"/>
    <mergeCell ref="D136:L136"/>
    <mergeCell ref="D137:J137"/>
    <mergeCell ref="K137:K139"/>
    <mergeCell ref="D138:D139"/>
    <mergeCell ref="E138:J138"/>
    <mergeCell ref="D133:J133"/>
    <mergeCell ref="M139:P139"/>
    <mergeCell ref="A172:B172"/>
    <mergeCell ref="D172:J172"/>
    <mergeCell ref="K172:L172"/>
    <mergeCell ref="A173:C173"/>
    <mergeCell ref="A159:B159"/>
    <mergeCell ref="L137:L139"/>
    <mergeCell ref="A140:B140"/>
    <mergeCell ref="G201:L201"/>
    <mergeCell ref="D173:J173"/>
    <mergeCell ref="K173:L173"/>
    <mergeCell ref="A158:B158"/>
    <mergeCell ref="K176:L176"/>
    <mergeCell ref="A177:B180"/>
    <mergeCell ref="D178:J178"/>
    <mergeCell ref="M180:P180"/>
    <mergeCell ref="A181:B181"/>
    <mergeCell ref="A199:B199"/>
    <mergeCell ref="A174:B174"/>
    <mergeCell ref="D174:J174"/>
    <mergeCell ref="K174:L174"/>
    <mergeCell ref="C177:C180"/>
    <mergeCell ref="D177:L177"/>
    <mergeCell ref="A212:B212"/>
    <mergeCell ref="D212:J212"/>
    <mergeCell ref="K212:L212"/>
    <mergeCell ref="L178:L180"/>
    <mergeCell ref="D179:D180"/>
    <mergeCell ref="K178:K180"/>
    <mergeCell ref="E179:J179"/>
    <mergeCell ref="A200:B200"/>
    <mergeCell ref="A202:D202"/>
    <mergeCell ref="H202:L202"/>
    <mergeCell ref="A213:C213"/>
    <mergeCell ref="D213:J213"/>
    <mergeCell ref="K213:L213"/>
    <mergeCell ref="G241:L241"/>
    <mergeCell ref="A214:B214"/>
    <mergeCell ref="D214:J214"/>
    <mergeCell ref="K214:L214"/>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K251:L251"/>
    <mergeCell ref="A252:C252"/>
    <mergeCell ref="D252:J252"/>
    <mergeCell ref="K252:L252"/>
    <mergeCell ref="A253:B253"/>
    <mergeCell ref="D253:J253"/>
    <mergeCell ref="A251:B251"/>
    <mergeCell ref="D251:J251"/>
    <mergeCell ref="M259:P259"/>
    <mergeCell ref="A260:B260"/>
    <mergeCell ref="K253:L253"/>
    <mergeCell ref="K254:L254"/>
    <mergeCell ref="A256:B259"/>
    <mergeCell ref="C256:C259"/>
    <mergeCell ref="D256:L256"/>
    <mergeCell ref="D257:J257"/>
    <mergeCell ref="K257:K259"/>
    <mergeCell ref="L257:L259"/>
    <mergeCell ref="D258:D259"/>
    <mergeCell ref="E258:J258"/>
    <mergeCell ref="A295:B295"/>
    <mergeCell ref="D295:J295"/>
    <mergeCell ref="G280:L280"/>
    <mergeCell ref="A281:D281"/>
    <mergeCell ref="H281:L281"/>
    <mergeCell ref="A278:B278"/>
    <mergeCell ref="A279:B279"/>
    <mergeCell ref="K295:L295"/>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G322:L322"/>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K469:L469"/>
    <mergeCell ref="A470:B470"/>
    <mergeCell ref="D470:J470"/>
    <mergeCell ref="K470:L470"/>
    <mergeCell ref="K471:L471"/>
    <mergeCell ref="K472:L472"/>
    <mergeCell ref="D475:D476"/>
    <mergeCell ref="E475:J475"/>
    <mergeCell ref="A477:B477"/>
    <mergeCell ref="A495:B495"/>
    <mergeCell ref="A469:C469"/>
    <mergeCell ref="D469:J469"/>
    <mergeCell ref="H498:L498"/>
    <mergeCell ref="M476:P476"/>
    <mergeCell ref="G497:L497"/>
    <mergeCell ref="A498:D498"/>
    <mergeCell ref="A473:B476"/>
    <mergeCell ref="C473:C476"/>
    <mergeCell ref="D473:L473"/>
    <mergeCell ref="D474:J474"/>
    <mergeCell ref="K474:K476"/>
    <mergeCell ref="L474:L476"/>
    <mergeCell ref="A511:B511"/>
    <mergeCell ref="D511:J511"/>
    <mergeCell ref="A512:C512"/>
    <mergeCell ref="D512:J512"/>
    <mergeCell ref="N6:P6"/>
    <mergeCell ref="M519:P519"/>
    <mergeCell ref="K511:L511"/>
    <mergeCell ref="E518:J518"/>
    <mergeCell ref="D516:L516"/>
    <mergeCell ref="D517:J517"/>
    <mergeCell ref="A496:B496"/>
    <mergeCell ref="K514:L514"/>
    <mergeCell ref="A513:B513"/>
    <mergeCell ref="L517:L519"/>
    <mergeCell ref="D513:J513"/>
    <mergeCell ref="K513:L513"/>
    <mergeCell ref="A516:B519"/>
    <mergeCell ref="K517:K519"/>
    <mergeCell ref="K512:L512"/>
    <mergeCell ref="K515:L515"/>
    <mergeCell ref="G540:L540"/>
    <mergeCell ref="A541:D541"/>
    <mergeCell ref="H541:L541"/>
    <mergeCell ref="A539:B539"/>
    <mergeCell ref="C516:C519"/>
    <mergeCell ref="D518:D519"/>
    <mergeCell ref="A520:B520"/>
    <mergeCell ref="A538:B538"/>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U127"/>
  <sheetViews>
    <sheetView showZeros="0" view="pageBreakPreview" zoomScale="85" zoomScaleSheetLayoutView="85" zoomScalePageLayoutView="0" workbookViewId="0" topLeftCell="A1">
      <selection activeCell="S13" sqref="S13:S31"/>
    </sheetView>
  </sheetViews>
  <sheetFormatPr defaultColWidth="9.00390625" defaultRowHeight="15.75"/>
  <cols>
    <col min="1" max="1" width="5.875" style="776" customWidth="1"/>
    <col min="2" max="2" width="20.375" style="634" customWidth="1"/>
    <col min="3" max="3" width="9.625" style="687" customWidth="1"/>
    <col min="4" max="5" width="7.375" style="682" customWidth="1"/>
    <col min="6" max="6" width="6.50390625" style="682" customWidth="1"/>
    <col min="7" max="7" width="6.75390625" style="682" customWidth="1"/>
    <col min="8" max="8" width="8.875" style="687" customWidth="1"/>
    <col min="9" max="9" width="7.875" style="687" customWidth="1"/>
    <col min="10" max="11" width="6.25390625" style="682" customWidth="1"/>
    <col min="12" max="12" width="5.75390625" style="682" customWidth="1"/>
    <col min="13" max="14" width="5.875" style="682" customWidth="1"/>
    <col min="15" max="15" width="6.125" style="682" customWidth="1"/>
    <col min="16" max="16" width="5.25390625" style="682" customWidth="1"/>
    <col min="17" max="17" width="7.50390625" style="687" customWidth="1"/>
    <col min="18" max="18" width="8.75390625" style="687" customWidth="1"/>
    <col min="19" max="19" width="8.625" style="682" customWidth="1"/>
    <col min="20" max="20" width="9.00390625" style="657" customWidth="1"/>
    <col min="21" max="16384" width="9.00390625" style="26" customWidth="1"/>
  </cols>
  <sheetData>
    <row r="1" spans="1:19" ht="20.25" customHeight="1">
      <c r="A1" s="776" t="s">
        <v>34</v>
      </c>
      <c r="C1" s="681"/>
      <c r="E1" s="1347" t="s">
        <v>83</v>
      </c>
      <c r="F1" s="1347"/>
      <c r="G1" s="1347"/>
      <c r="H1" s="1347"/>
      <c r="I1" s="1347"/>
      <c r="J1" s="1347"/>
      <c r="K1" s="1347"/>
      <c r="L1" s="1347"/>
      <c r="M1" s="1347"/>
      <c r="N1" s="1347"/>
      <c r="O1" s="1347"/>
      <c r="P1" s="684" t="s">
        <v>576</v>
      </c>
      <c r="Q1" s="685"/>
      <c r="R1" s="685"/>
      <c r="S1" s="684"/>
    </row>
    <row r="2" spans="1:19" ht="17.25" customHeight="1">
      <c r="A2" s="1335" t="s">
        <v>344</v>
      </c>
      <c r="B2" s="1335"/>
      <c r="C2" s="1335"/>
      <c r="D2" s="1335"/>
      <c r="E2" s="1348" t="s">
        <v>42</v>
      </c>
      <c r="F2" s="1348"/>
      <c r="G2" s="1348"/>
      <c r="H2" s="1348"/>
      <c r="I2" s="1348"/>
      <c r="J2" s="1348"/>
      <c r="K2" s="1348"/>
      <c r="L2" s="1348"/>
      <c r="M2" s="1348"/>
      <c r="N2" s="1348"/>
      <c r="O2" s="1348"/>
      <c r="P2" s="1351" t="str">
        <f>'Thong tin'!B4</f>
        <v>CTHADS Hải Phòng</v>
      </c>
      <c r="Q2" s="1351"/>
      <c r="R2" s="1351"/>
      <c r="S2" s="1351"/>
    </row>
    <row r="3" spans="1:19" ht="19.5" customHeight="1">
      <c r="A3" s="1335" t="s">
        <v>345</v>
      </c>
      <c r="B3" s="1335"/>
      <c r="C3" s="1335"/>
      <c r="D3" s="1335"/>
      <c r="E3" s="1349" t="str">
        <f>'Thong tin'!B3</f>
        <v>03 tháng / năm 2018</v>
      </c>
      <c r="F3" s="1349"/>
      <c r="G3" s="1349"/>
      <c r="H3" s="1349"/>
      <c r="I3" s="1349"/>
      <c r="J3" s="1349"/>
      <c r="K3" s="1349"/>
      <c r="L3" s="1349"/>
      <c r="M3" s="1349"/>
      <c r="N3" s="1349"/>
      <c r="O3" s="1349"/>
      <c r="P3" s="684" t="s">
        <v>757</v>
      </c>
      <c r="Q3" s="681"/>
      <c r="R3" s="685"/>
      <c r="S3" s="684"/>
    </row>
    <row r="4" spans="1:19" ht="14.25" customHeight="1">
      <c r="A4" s="777" t="s">
        <v>217</v>
      </c>
      <c r="C4" s="681"/>
      <c r="D4" s="686"/>
      <c r="E4" s="686"/>
      <c r="F4" s="686"/>
      <c r="G4" s="686"/>
      <c r="H4" s="681"/>
      <c r="I4" s="681"/>
      <c r="J4" s="686"/>
      <c r="K4" s="686"/>
      <c r="L4" s="686"/>
      <c r="M4" s="686"/>
      <c r="N4" s="683"/>
      <c r="O4" s="683"/>
      <c r="P4" s="1339" t="s">
        <v>412</v>
      </c>
      <c r="Q4" s="1339"/>
      <c r="R4" s="1339"/>
      <c r="S4" s="1339"/>
    </row>
    <row r="5" spans="17:19" ht="11.25" customHeight="1">
      <c r="Q5" s="688" t="s">
        <v>343</v>
      </c>
      <c r="R5" s="689"/>
      <c r="S5" s="690"/>
    </row>
    <row r="6" spans="1:19" ht="19.5" customHeight="1">
      <c r="A6" s="1341" t="s">
        <v>72</v>
      </c>
      <c r="B6" s="1342"/>
      <c r="C6" s="1337" t="s">
        <v>218</v>
      </c>
      <c r="D6" s="1337"/>
      <c r="E6" s="1337"/>
      <c r="F6" s="1350" t="s">
        <v>134</v>
      </c>
      <c r="G6" s="1350" t="s">
        <v>219</v>
      </c>
      <c r="H6" s="1336" t="s">
        <v>137</v>
      </c>
      <c r="I6" s="1336"/>
      <c r="J6" s="1336"/>
      <c r="K6" s="1336"/>
      <c r="L6" s="1336"/>
      <c r="M6" s="1336"/>
      <c r="N6" s="1336"/>
      <c r="O6" s="1336"/>
      <c r="P6" s="1336"/>
      <c r="Q6" s="1336"/>
      <c r="R6" s="1340" t="s">
        <v>354</v>
      </c>
      <c r="S6" s="1337" t="s">
        <v>578</v>
      </c>
    </row>
    <row r="7" spans="1:20" s="411" customFormat="1" ht="27" customHeight="1">
      <c r="A7" s="1343"/>
      <c r="B7" s="1344"/>
      <c r="C7" s="1340" t="s">
        <v>51</v>
      </c>
      <c r="D7" s="1337" t="s">
        <v>7</v>
      </c>
      <c r="E7" s="1337"/>
      <c r="F7" s="1350"/>
      <c r="G7" s="1350"/>
      <c r="H7" s="1338" t="s">
        <v>137</v>
      </c>
      <c r="I7" s="1337" t="s">
        <v>138</v>
      </c>
      <c r="J7" s="1337"/>
      <c r="K7" s="1337"/>
      <c r="L7" s="1337"/>
      <c r="M7" s="1337"/>
      <c r="N7" s="1337"/>
      <c r="O7" s="1337"/>
      <c r="P7" s="1337"/>
      <c r="Q7" s="1338" t="s">
        <v>151</v>
      </c>
      <c r="R7" s="1340"/>
      <c r="S7" s="1337"/>
      <c r="T7" s="658"/>
    </row>
    <row r="8" spans="1:19" ht="21.75" customHeight="1">
      <c r="A8" s="1343"/>
      <c r="B8" s="1344"/>
      <c r="C8" s="1340"/>
      <c r="D8" s="1337" t="s">
        <v>221</v>
      </c>
      <c r="E8" s="1337" t="s">
        <v>222</v>
      </c>
      <c r="F8" s="1350"/>
      <c r="G8" s="1350"/>
      <c r="H8" s="1338"/>
      <c r="I8" s="1338" t="s">
        <v>577</v>
      </c>
      <c r="J8" s="1337" t="s">
        <v>7</v>
      </c>
      <c r="K8" s="1337"/>
      <c r="L8" s="1337"/>
      <c r="M8" s="1337"/>
      <c r="N8" s="1337"/>
      <c r="O8" s="1337"/>
      <c r="P8" s="1337"/>
      <c r="Q8" s="1338"/>
      <c r="R8" s="1340"/>
      <c r="S8" s="1337"/>
    </row>
    <row r="9" spans="1:19" ht="84" customHeight="1">
      <c r="A9" s="1345"/>
      <c r="B9" s="1346"/>
      <c r="C9" s="1340"/>
      <c r="D9" s="1337"/>
      <c r="E9" s="1337"/>
      <c r="F9" s="1350"/>
      <c r="G9" s="1350"/>
      <c r="H9" s="1338"/>
      <c r="I9" s="1338"/>
      <c r="J9" s="691" t="s">
        <v>223</v>
      </c>
      <c r="K9" s="691" t="s">
        <v>224</v>
      </c>
      <c r="L9" s="13" t="s">
        <v>142</v>
      </c>
      <c r="M9" s="13" t="s">
        <v>225</v>
      </c>
      <c r="N9" s="13" t="s">
        <v>146</v>
      </c>
      <c r="O9" s="13" t="s">
        <v>355</v>
      </c>
      <c r="P9" s="13" t="s">
        <v>150</v>
      </c>
      <c r="Q9" s="1338"/>
      <c r="R9" s="1340"/>
      <c r="S9" s="1337"/>
    </row>
    <row r="10" spans="1:19" ht="22.5" customHeight="1">
      <c r="A10" s="1361" t="s">
        <v>6</v>
      </c>
      <c r="B10" s="1362"/>
      <c r="C10" s="692">
        <v>1</v>
      </c>
      <c r="D10" s="693">
        <v>2</v>
      </c>
      <c r="E10" s="693">
        <v>3</v>
      </c>
      <c r="F10" s="693">
        <v>4</v>
      </c>
      <c r="G10" s="693">
        <v>5</v>
      </c>
      <c r="H10" s="692">
        <v>6</v>
      </c>
      <c r="I10" s="692">
        <v>7</v>
      </c>
      <c r="J10" s="693">
        <v>8</v>
      </c>
      <c r="K10" s="693">
        <v>9</v>
      </c>
      <c r="L10" s="693">
        <v>10</v>
      </c>
      <c r="M10" s="693">
        <v>11</v>
      </c>
      <c r="N10" s="693">
        <v>12</v>
      </c>
      <c r="O10" s="693">
        <v>13</v>
      </c>
      <c r="P10" s="693">
        <v>14</v>
      </c>
      <c r="Q10" s="692">
        <v>15</v>
      </c>
      <c r="R10" s="692">
        <v>16</v>
      </c>
      <c r="S10" s="694">
        <v>17</v>
      </c>
    </row>
    <row r="11" spans="1:20" s="637" customFormat="1" ht="23.25" customHeight="1">
      <c r="A11" s="1352" t="s">
        <v>37</v>
      </c>
      <c r="B11" s="1353"/>
      <c r="C11" s="774">
        <f>C12+C32</f>
        <v>10825</v>
      </c>
      <c r="D11" s="774">
        <f aca="true" t="shared" si="0" ref="D11:R11">D12+D32</f>
        <v>8097</v>
      </c>
      <c r="E11" s="774">
        <f t="shared" si="0"/>
        <v>2728</v>
      </c>
      <c r="F11" s="774">
        <f t="shared" si="0"/>
        <v>30</v>
      </c>
      <c r="G11" s="774">
        <f t="shared" si="0"/>
        <v>2</v>
      </c>
      <c r="H11" s="774">
        <f t="shared" si="0"/>
        <v>10795</v>
      </c>
      <c r="I11" s="774">
        <f t="shared" si="0"/>
        <v>5045</v>
      </c>
      <c r="J11" s="774">
        <f t="shared" si="0"/>
        <v>1669</v>
      </c>
      <c r="K11" s="774">
        <f t="shared" si="0"/>
        <v>51</v>
      </c>
      <c r="L11" s="774">
        <f t="shared" si="0"/>
        <v>3299</v>
      </c>
      <c r="M11" s="774">
        <f t="shared" si="0"/>
        <v>7</v>
      </c>
      <c r="N11" s="774">
        <f t="shared" si="0"/>
        <v>4</v>
      </c>
      <c r="O11" s="774">
        <f t="shared" si="0"/>
        <v>0</v>
      </c>
      <c r="P11" s="774">
        <f t="shared" si="0"/>
        <v>15</v>
      </c>
      <c r="Q11" s="774">
        <f t="shared" si="0"/>
        <v>5750</v>
      </c>
      <c r="R11" s="774">
        <f t="shared" si="0"/>
        <v>9075</v>
      </c>
      <c r="S11" s="775">
        <f>(J11+K11)/I11*100</f>
        <v>34.093161546085234</v>
      </c>
      <c r="T11" s="659">
        <f>C11-F11-H11</f>
        <v>0</v>
      </c>
    </row>
    <row r="12" spans="1:21" s="780" customFormat="1" ht="23.25" customHeight="1">
      <c r="A12" s="900" t="s">
        <v>0</v>
      </c>
      <c r="B12" s="778" t="s">
        <v>98</v>
      </c>
      <c r="C12" s="901">
        <f>SUM(C13:C31)</f>
        <v>397</v>
      </c>
      <c r="D12" s="901">
        <f aca="true" t="shared" si="1" ref="D12:Q12">SUM(D13:D31)</f>
        <v>193</v>
      </c>
      <c r="E12" s="901">
        <f t="shared" si="1"/>
        <v>204</v>
      </c>
      <c r="F12" s="901">
        <f t="shared" si="1"/>
        <v>4</v>
      </c>
      <c r="G12" s="901">
        <f t="shared" si="1"/>
        <v>0</v>
      </c>
      <c r="H12" s="901">
        <f t="shared" si="1"/>
        <v>393</v>
      </c>
      <c r="I12" s="901">
        <f t="shared" si="1"/>
        <v>353</v>
      </c>
      <c r="J12" s="901">
        <f t="shared" si="1"/>
        <v>85</v>
      </c>
      <c r="K12" s="901">
        <f t="shared" si="1"/>
        <v>0</v>
      </c>
      <c r="L12" s="901">
        <f t="shared" si="1"/>
        <v>266</v>
      </c>
      <c r="M12" s="901">
        <f t="shared" si="1"/>
        <v>0</v>
      </c>
      <c r="N12" s="901">
        <f t="shared" si="1"/>
        <v>2</v>
      </c>
      <c r="O12" s="901">
        <f t="shared" si="1"/>
        <v>0</v>
      </c>
      <c r="P12" s="901">
        <f t="shared" si="1"/>
        <v>0</v>
      </c>
      <c r="Q12" s="901">
        <f t="shared" si="1"/>
        <v>40</v>
      </c>
      <c r="R12" s="902">
        <f aca="true" t="shared" si="2" ref="R12:R31">SUM(L12:Q12)</f>
        <v>308</v>
      </c>
      <c r="S12" s="903">
        <f aca="true" t="shared" si="3" ref="S12:S31">(J12+K12)/I12*100</f>
        <v>24.07932011331445</v>
      </c>
      <c r="T12" s="904">
        <f aca="true" t="shared" si="4" ref="T12:T75">C12-F12-H12</f>
        <v>0</v>
      </c>
      <c r="U12" s="779"/>
    </row>
    <row r="13" spans="1:20" s="773" customFormat="1" ht="23.25" customHeight="1">
      <c r="A13" s="761" t="s">
        <v>54</v>
      </c>
      <c r="B13" s="761" t="s">
        <v>660</v>
      </c>
      <c r="C13" s="871">
        <f>D13+E13</f>
        <v>8</v>
      </c>
      <c r="D13" s="872">
        <v>1</v>
      </c>
      <c r="E13" s="871">
        <v>7</v>
      </c>
      <c r="F13" s="871">
        <v>0</v>
      </c>
      <c r="G13" s="871"/>
      <c r="H13" s="871">
        <f aca="true" t="shared" si="5" ref="H13:H49">I13+Q13</f>
        <v>8</v>
      </c>
      <c r="I13" s="871">
        <f>SUM(J13:P13)</f>
        <v>8</v>
      </c>
      <c r="J13" s="871">
        <v>0</v>
      </c>
      <c r="K13" s="871">
        <v>0</v>
      </c>
      <c r="L13" s="871">
        <v>8</v>
      </c>
      <c r="M13" s="871"/>
      <c r="N13" s="871"/>
      <c r="O13" s="871"/>
      <c r="P13" s="871"/>
      <c r="Q13" s="871"/>
      <c r="R13" s="866">
        <f t="shared" si="2"/>
        <v>8</v>
      </c>
      <c r="S13" s="867">
        <f t="shared" si="3"/>
        <v>0</v>
      </c>
      <c r="T13" s="659">
        <f t="shared" si="4"/>
        <v>0</v>
      </c>
    </row>
    <row r="14" spans="1:20" s="773" customFormat="1" ht="23.25" customHeight="1">
      <c r="A14" s="761" t="s">
        <v>55</v>
      </c>
      <c r="B14" s="761" t="s">
        <v>661</v>
      </c>
      <c r="C14" s="871">
        <f aca="true" t="shared" si="6" ref="C14:C31">D14+E14</f>
        <v>9</v>
      </c>
      <c r="D14" s="872">
        <v>2</v>
      </c>
      <c r="E14" s="871">
        <v>7</v>
      </c>
      <c r="F14" s="871">
        <v>0</v>
      </c>
      <c r="G14" s="871"/>
      <c r="H14" s="871">
        <f t="shared" si="5"/>
        <v>9</v>
      </c>
      <c r="I14" s="871">
        <f>SUM(J14:P14)</f>
        <v>9</v>
      </c>
      <c r="J14" s="871">
        <v>0</v>
      </c>
      <c r="K14" s="871">
        <v>0</v>
      </c>
      <c r="L14" s="871">
        <v>9</v>
      </c>
      <c r="M14" s="871"/>
      <c r="N14" s="871"/>
      <c r="O14" s="871"/>
      <c r="P14" s="871"/>
      <c r="Q14" s="871"/>
      <c r="R14" s="866">
        <f t="shared" si="2"/>
        <v>9</v>
      </c>
      <c r="S14" s="867">
        <f t="shared" si="3"/>
        <v>0</v>
      </c>
      <c r="T14" s="659">
        <f t="shared" si="4"/>
        <v>0</v>
      </c>
    </row>
    <row r="15" spans="1:20" s="773" customFormat="1" ht="23.25" customHeight="1">
      <c r="A15" s="761" t="s">
        <v>141</v>
      </c>
      <c r="B15" s="761" t="s">
        <v>658</v>
      </c>
      <c r="C15" s="871">
        <f t="shared" si="6"/>
        <v>12</v>
      </c>
      <c r="D15" s="872">
        <v>0</v>
      </c>
      <c r="E15" s="871">
        <v>12</v>
      </c>
      <c r="F15" s="871">
        <v>0</v>
      </c>
      <c r="G15" s="871"/>
      <c r="H15" s="871">
        <f t="shared" si="5"/>
        <v>12</v>
      </c>
      <c r="I15" s="871">
        <f aca="true" t="shared" si="7" ref="I15:I31">SUM(J15:P15)</f>
        <v>12</v>
      </c>
      <c r="J15" s="871">
        <v>4</v>
      </c>
      <c r="K15" s="871">
        <v>0</v>
      </c>
      <c r="L15" s="871">
        <v>8</v>
      </c>
      <c r="M15" s="871"/>
      <c r="N15" s="871"/>
      <c r="O15" s="871"/>
      <c r="P15" s="871"/>
      <c r="Q15" s="871"/>
      <c r="R15" s="866">
        <f t="shared" si="2"/>
        <v>8</v>
      </c>
      <c r="S15" s="867">
        <f t="shared" si="3"/>
        <v>33.33333333333333</v>
      </c>
      <c r="T15" s="659">
        <f t="shared" si="4"/>
        <v>0</v>
      </c>
    </row>
    <row r="16" spans="1:20" s="773" customFormat="1" ht="23.25" customHeight="1">
      <c r="A16" s="761" t="s">
        <v>143</v>
      </c>
      <c r="B16" s="761" t="s">
        <v>750</v>
      </c>
      <c r="C16" s="871">
        <f t="shared" si="6"/>
        <v>12</v>
      </c>
      <c r="D16" s="872">
        <v>7</v>
      </c>
      <c r="E16" s="871">
        <v>5</v>
      </c>
      <c r="F16" s="871">
        <v>0</v>
      </c>
      <c r="G16" s="871"/>
      <c r="H16" s="871">
        <f t="shared" si="5"/>
        <v>12</v>
      </c>
      <c r="I16" s="871">
        <f t="shared" si="7"/>
        <v>12</v>
      </c>
      <c r="J16" s="871">
        <v>4</v>
      </c>
      <c r="K16" s="871">
        <v>0</v>
      </c>
      <c r="L16" s="871">
        <v>6</v>
      </c>
      <c r="M16" s="871"/>
      <c r="N16" s="871">
        <v>2</v>
      </c>
      <c r="O16" s="871"/>
      <c r="P16" s="871"/>
      <c r="Q16" s="871"/>
      <c r="R16" s="866">
        <f t="shared" si="2"/>
        <v>8</v>
      </c>
      <c r="S16" s="867">
        <f t="shared" si="3"/>
        <v>33.33333333333333</v>
      </c>
      <c r="T16" s="659">
        <f t="shared" si="4"/>
        <v>0</v>
      </c>
    </row>
    <row r="17" spans="1:20" s="773" customFormat="1" ht="23.25" customHeight="1">
      <c r="A17" s="761" t="s">
        <v>145</v>
      </c>
      <c r="B17" s="761" t="s">
        <v>662</v>
      </c>
      <c r="C17" s="871">
        <f t="shared" si="6"/>
        <v>29</v>
      </c>
      <c r="D17" s="872">
        <v>15</v>
      </c>
      <c r="E17" s="871">
        <f>4+10</f>
        <v>14</v>
      </c>
      <c r="F17" s="871">
        <v>0</v>
      </c>
      <c r="G17" s="871"/>
      <c r="H17" s="871">
        <f t="shared" si="5"/>
        <v>29</v>
      </c>
      <c r="I17" s="871">
        <f t="shared" si="7"/>
        <v>26</v>
      </c>
      <c r="J17" s="871">
        <f>3+10</f>
        <v>13</v>
      </c>
      <c r="K17" s="871">
        <v>0</v>
      </c>
      <c r="L17" s="871">
        <v>13</v>
      </c>
      <c r="M17" s="871"/>
      <c r="N17" s="871"/>
      <c r="O17" s="871"/>
      <c r="P17" s="871"/>
      <c r="Q17" s="871">
        <v>3</v>
      </c>
      <c r="R17" s="866">
        <f t="shared" si="2"/>
        <v>16</v>
      </c>
      <c r="S17" s="867">
        <f t="shared" si="3"/>
        <v>50</v>
      </c>
      <c r="T17" s="659">
        <f t="shared" si="4"/>
        <v>0</v>
      </c>
    </row>
    <row r="18" spans="1:20" s="773" customFormat="1" ht="23.25" customHeight="1">
      <c r="A18" s="761" t="s">
        <v>147</v>
      </c>
      <c r="B18" s="761" t="s">
        <v>663</v>
      </c>
      <c r="C18" s="871">
        <f t="shared" si="6"/>
        <v>13</v>
      </c>
      <c r="D18" s="872">
        <v>13</v>
      </c>
      <c r="E18" s="871">
        <v>0</v>
      </c>
      <c r="F18" s="871">
        <v>0</v>
      </c>
      <c r="G18" s="871"/>
      <c r="H18" s="871">
        <f t="shared" si="5"/>
        <v>13</v>
      </c>
      <c r="I18" s="871">
        <f t="shared" si="7"/>
        <v>8</v>
      </c>
      <c r="J18" s="871">
        <v>0</v>
      </c>
      <c r="K18" s="871">
        <v>0</v>
      </c>
      <c r="L18" s="873">
        <v>8</v>
      </c>
      <c r="M18" s="873"/>
      <c r="N18" s="874"/>
      <c r="O18" s="874"/>
      <c r="P18" s="874"/>
      <c r="Q18" s="874">
        <v>5</v>
      </c>
      <c r="R18" s="866">
        <f t="shared" si="2"/>
        <v>13</v>
      </c>
      <c r="S18" s="867">
        <f t="shared" si="3"/>
        <v>0</v>
      </c>
      <c r="T18" s="659">
        <f t="shared" si="4"/>
        <v>0</v>
      </c>
    </row>
    <row r="19" spans="1:20" s="773" customFormat="1" ht="23.25" customHeight="1">
      <c r="A19" s="761" t="s">
        <v>149</v>
      </c>
      <c r="B19" s="761" t="s">
        <v>664</v>
      </c>
      <c r="C19" s="871">
        <f t="shared" si="6"/>
        <v>11</v>
      </c>
      <c r="D19" s="872">
        <v>11</v>
      </c>
      <c r="E19" s="871">
        <v>0</v>
      </c>
      <c r="F19" s="871">
        <v>0</v>
      </c>
      <c r="G19" s="874"/>
      <c r="H19" s="871">
        <f>I19+Q19</f>
        <v>11</v>
      </c>
      <c r="I19" s="871">
        <f t="shared" si="7"/>
        <v>9</v>
      </c>
      <c r="J19" s="871">
        <v>0</v>
      </c>
      <c r="K19" s="871">
        <v>0</v>
      </c>
      <c r="L19" s="874">
        <v>9</v>
      </c>
      <c r="M19" s="874"/>
      <c r="N19" s="873"/>
      <c r="O19" s="874"/>
      <c r="P19" s="874"/>
      <c r="Q19" s="874">
        <v>2</v>
      </c>
      <c r="R19" s="866">
        <f t="shared" si="2"/>
        <v>11</v>
      </c>
      <c r="S19" s="867">
        <f t="shared" si="3"/>
        <v>0</v>
      </c>
      <c r="T19" s="659">
        <f t="shared" si="4"/>
        <v>0</v>
      </c>
    </row>
    <row r="20" spans="1:20" s="773" customFormat="1" ht="23.25" customHeight="1">
      <c r="A20" s="761" t="s">
        <v>186</v>
      </c>
      <c r="B20" s="761" t="s">
        <v>665</v>
      </c>
      <c r="C20" s="871">
        <f t="shared" si="6"/>
        <v>18</v>
      </c>
      <c r="D20" s="872">
        <v>6</v>
      </c>
      <c r="E20" s="871">
        <v>12</v>
      </c>
      <c r="F20" s="871">
        <v>0</v>
      </c>
      <c r="G20" s="874"/>
      <c r="H20" s="871">
        <f t="shared" si="5"/>
        <v>18</v>
      </c>
      <c r="I20" s="871">
        <f t="shared" si="7"/>
        <v>17</v>
      </c>
      <c r="J20" s="871">
        <v>5</v>
      </c>
      <c r="K20" s="871">
        <v>0</v>
      </c>
      <c r="L20" s="874">
        <v>12</v>
      </c>
      <c r="M20" s="874"/>
      <c r="N20" s="873"/>
      <c r="O20" s="874"/>
      <c r="P20" s="874"/>
      <c r="Q20" s="874">
        <v>1</v>
      </c>
      <c r="R20" s="866">
        <f t="shared" si="2"/>
        <v>13</v>
      </c>
      <c r="S20" s="867">
        <f t="shared" si="3"/>
        <v>29.411764705882355</v>
      </c>
      <c r="T20" s="659">
        <f t="shared" si="4"/>
        <v>0</v>
      </c>
    </row>
    <row r="21" spans="1:20" s="773" customFormat="1" ht="23.25" customHeight="1">
      <c r="A21" s="761" t="s">
        <v>575</v>
      </c>
      <c r="B21" s="761" t="s">
        <v>667</v>
      </c>
      <c r="C21" s="871">
        <f t="shared" si="6"/>
        <v>28</v>
      </c>
      <c r="D21" s="872">
        <v>19</v>
      </c>
      <c r="E21" s="871">
        <v>9</v>
      </c>
      <c r="F21" s="871">
        <v>0</v>
      </c>
      <c r="G21" s="876"/>
      <c r="H21" s="871">
        <f t="shared" si="5"/>
        <v>28</v>
      </c>
      <c r="I21" s="871">
        <f t="shared" si="7"/>
        <v>28</v>
      </c>
      <c r="J21" s="871">
        <v>0</v>
      </c>
      <c r="K21" s="871">
        <v>0</v>
      </c>
      <c r="L21" s="876">
        <v>28</v>
      </c>
      <c r="M21" s="876"/>
      <c r="N21" s="873"/>
      <c r="O21" s="876"/>
      <c r="P21" s="876"/>
      <c r="Q21" s="876"/>
      <c r="R21" s="866">
        <f t="shared" si="2"/>
        <v>28</v>
      </c>
      <c r="S21" s="867">
        <f t="shared" si="3"/>
        <v>0</v>
      </c>
      <c r="T21" s="659">
        <f t="shared" si="4"/>
        <v>0</v>
      </c>
    </row>
    <row r="22" spans="1:20" s="773" customFormat="1" ht="23.25" customHeight="1">
      <c r="A22" s="761" t="s">
        <v>666</v>
      </c>
      <c r="B22" s="761" t="s">
        <v>669</v>
      </c>
      <c r="C22" s="871">
        <f t="shared" si="6"/>
        <v>12</v>
      </c>
      <c r="D22" s="872">
        <v>11</v>
      </c>
      <c r="E22" s="871">
        <v>1</v>
      </c>
      <c r="F22" s="871">
        <v>0</v>
      </c>
      <c r="G22" s="874"/>
      <c r="H22" s="871">
        <f t="shared" si="5"/>
        <v>12</v>
      </c>
      <c r="I22" s="871">
        <f t="shared" si="7"/>
        <v>12</v>
      </c>
      <c r="J22" s="871">
        <v>0</v>
      </c>
      <c r="K22" s="871">
        <v>0</v>
      </c>
      <c r="L22" s="874">
        <v>12</v>
      </c>
      <c r="M22" s="874"/>
      <c r="N22" s="873"/>
      <c r="O22" s="874"/>
      <c r="P22" s="874"/>
      <c r="Q22" s="874"/>
      <c r="R22" s="866">
        <f t="shared" si="2"/>
        <v>12</v>
      </c>
      <c r="S22" s="867">
        <f t="shared" si="3"/>
        <v>0</v>
      </c>
      <c r="T22" s="659">
        <f t="shared" si="4"/>
        <v>0</v>
      </c>
    </row>
    <row r="23" spans="1:20" s="773" customFormat="1" ht="23.25" customHeight="1">
      <c r="A23" s="761" t="s">
        <v>668</v>
      </c>
      <c r="B23" s="761" t="s">
        <v>799</v>
      </c>
      <c r="C23" s="871">
        <f t="shared" si="6"/>
        <v>24</v>
      </c>
      <c r="D23" s="872">
        <v>16</v>
      </c>
      <c r="E23" s="871">
        <v>8</v>
      </c>
      <c r="F23" s="871">
        <v>0</v>
      </c>
      <c r="G23" s="874"/>
      <c r="H23" s="871">
        <f t="shared" si="5"/>
        <v>24</v>
      </c>
      <c r="I23" s="871">
        <f t="shared" si="7"/>
        <v>20</v>
      </c>
      <c r="J23" s="871">
        <v>0</v>
      </c>
      <c r="K23" s="871">
        <v>0</v>
      </c>
      <c r="L23" s="874">
        <v>20</v>
      </c>
      <c r="M23" s="874"/>
      <c r="N23" s="873"/>
      <c r="O23" s="874"/>
      <c r="P23" s="874"/>
      <c r="Q23" s="874">
        <f>1+3</f>
        <v>4</v>
      </c>
      <c r="R23" s="866">
        <f t="shared" si="2"/>
        <v>24</v>
      </c>
      <c r="S23" s="867">
        <f t="shared" si="3"/>
        <v>0</v>
      </c>
      <c r="T23" s="659">
        <f t="shared" si="4"/>
        <v>0</v>
      </c>
    </row>
    <row r="24" spans="1:20" s="773" customFormat="1" ht="23.25" customHeight="1">
      <c r="A24" s="761" t="s">
        <v>670</v>
      </c>
      <c r="B24" s="761" t="s">
        <v>778</v>
      </c>
      <c r="C24" s="877">
        <f>D24+E24</f>
        <v>49</v>
      </c>
      <c r="D24" s="871">
        <v>28</v>
      </c>
      <c r="E24" s="871">
        <f>6+15</f>
        <v>21</v>
      </c>
      <c r="F24" s="871">
        <v>0</v>
      </c>
      <c r="G24" s="871"/>
      <c r="H24" s="877">
        <f>I24+Q24</f>
        <v>49</v>
      </c>
      <c r="I24" s="877">
        <f>SUM(J24:P24)</f>
        <v>43</v>
      </c>
      <c r="J24" s="871">
        <v>10</v>
      </c>
      <c r="K24" s="871">
        <v>0</v>
      </c>
      <c r="L24" s="873">
        <f>28+5</f>
        <v>33</v>
      </c>
      <c r="M24" s="873"/>
      <c r="N24" s="874"/>
      <c r="O24" s="874"/>
      <c r="P24" s="874"/>
      <c r="Q24" s="874">
        <v>6</v>
      </c>
      <c r="R24" s="866">
        <f t="shared" si="2"/>
        <v>39</v>
      </c>
      <c r="S24" s="867">
        <f t="shared" si="3"/>
        <v>23.25581395348837</v>
      </c>
      <c r="T24" s="659">
        <f t="shared" si="4"/>
        <v>0</v>
      </c>
    </row>
    <row r="25" spans="1:20" s="773" customFormat="1" ht="23.25" customHeight="1">
      <c r="A25" s="761" t="s">
        <v>671</v>
      </c>
      <c r="B25" s="761" t="s">
        <v>673</v>
      </c>
      <c r="C25" s="877">
        <f>D25+E25</f>
        <v>38</v>
      </c>
      <c r="D25" s="871">
        <v>19</v>
      </c>
      <c r="E25" s="871">
        <v>19</v>
      </c>
      <c r="F25" s="871">
        <v>2</v>
      </c>
      <c r="G25" s="871"/>
      <c r="H25" s="877">
        <f>I25+Q25</f>
        <v>36</v>
      </c>
      <c r="I25" s="877">
        <f>SUM(J25:P25)</f>
        <v>31</v>
      </c>
      <c r="J25" s="871">
        <v>10</v>
      </c>
      <c r="K25" s="871">
        <v>0</v>
      </c>
      <c r="L25" s="873">
        <f>21</f>
        <v>21</v>
      </c>
      <c r="M25" s="873"/>
      <c r="N25" s="874">
        <v>0</v>
      </c>
      <c r="O25" s="874"/>
      <c r="P25" s="874"/>
      <c r="Q25" s="874">
        <v>5</v>
      </c>
      <c r="R25" s="866">
        <f t="shared" si="2"/>
        <v>26</v>
      </c>
      <c r="S25" s="867">
        <f t="shared" si="3"/>
        <v>32.25806451612903</v>
      </c>
      <c r="T25" s="659">
        <f t="shared" si="4"/>
        <v>0</v>
      </c>
    </row>
    <row r="26" spans="1:20" s="773" customFormat="1" ht="23.25" customHeight="1">
      <c r="A26" s="761" t="s">
        <v>672</v>
      </c>
      <c r="B26" s="761" t="s">
        <v>675</v>
      </c>
      <c r="C26" s="871">
        <f t="shared" si="6"/>
        <v>19</v>
      </c>
      <c r="D26" s="872">
        <v>5</v>
      </c>
      <c r="E26" s="871">
        <v>14</v>
      </c>
      <c r="F26" s="871">
        <v>0</v>
      </c>
      <c r="G26" s="874"/>
      <c r="H26" s="871">
        <f t="shared" si="5"/>
        <v>19</v>
      </c>
      <c r="I26" s="871">
        <f t="shared" si="7"/>
        <v>16</v>
      </c>
      <c r="J26" s="871">
        <v>4</v>
      </c>
      <c r="K26" s="871">
        <v>0</v>
      </c>
      <c r="L26" s="874">
        <v>12</v>
      </c>
      <c r="M26" s="874">
        <v>0</v>
      </c>
      <c r="N26" s="873"/>
      <c r="O26" s="874"/>
      <c r="P26" s="874"/>
      <c r="Q26" s="874">
        <v>3</v>
      </c>
      <c r="R26" s="866">
        <f t="shared" si="2"/>
        <v>15</v>
      </c>
      <c r="S26" s="867">
        <f t="shared" si="3"/>
        <v>25</v>
      </c>
      <c r="T26" s="659">
        <f t="shared" si="4"/>
        <v>0</v>
      </c>
    </row>
    <row r="27" spans="1:20" s="773" customFormat="1" ht="23.25" customHeight="1">
      <c r="A27" s="761" t="s">
        <v>674</v>
      </c>
      <c r="B27" s="761" t="s">
        <v>677</v>
      </c>
      <c r="C27" s="871">
        <f t="shared" si="6"/>
        <v>39</v>
      </c>
      <c r="D27" s="872">
        <v>19</v>
      </c>
      <c r="E27" s="871">
        <f>12+8</f>
        <v>20</v>
      </c>
      <c r="F27" s="871">
        <v>0</v>
      </c>
      <c r="G27" s="878"/>
      <c r="H27" s="871">
        <f t="shared" si="5"/>
        <v>39</v>
      </c>
      <c r="I27" s="871">
        <f t="shared" si="7"/>
        <v>38</v>
      </c>
      <c r="J27" s="871">
        <v>5</v>
      </c>
      <c r="K27" s="871">
        <v>0</v>
      </c>
      <c r="L27" s="873">
        <v>33</v>
      </c>
      <c r="M27" s="873"/>
      <c r="N27" s="873"/>
      <c r="O27" s="874"/>
      <c r="P27" s="874"/>
      <c r="Q27" s="874">
        <v>1</v>
      </c>
      <c r="R27" s="866">
        <f t="shared" si="2"/>
        <v>34</v>
      </c>
      <c r="S27" s="867">
        <f t="shared" si="3"/>
        <v>13.157894736842104</v>
      </c>
      <c r="T27" s="659">
        <f t="shared" si="4"/>
        <v>0</v>
      </c>
    </row>
    <row r="28" spans="1:20" s="773" customFormat="1" ht="23.25" customHeight="1">
      <c r="A28" s="761" t="s">
        <v>676</v>
      </c>
      <c r="B28" s="761" t="s">
        <v>679</v>
      </c>
      <c r="C28" s="871">
        <f t="shared" si="6"/>
        <v>25</v>
      </c>
      <c r="D28" s="871">
        <v>8</v>
      </c>
      <c r="E28" s="871">
        <f>7+10</f>
        <v>17</v>
      </c>
      <c r="F28" s="871">
        <v>0</v>
      </c>
      <c r="G28" s="871"/>
      <c r="H28" s="871">
        <f t="shared" si="5"/>
        <v>25</v>
      </c>
      <c r="I28" s="871">
        <f t="shared" si="7"/>
        <v>21</v>
      </c>
      <c r="J28" s="871">
        <v>10</v>
      </c>
      <c r="K28" s="871">
        <v>0</v>
      </c>
      <c r="L28" s="873">
        <v>11</v>
      </c>
      <c r="M28" s="873"/>
      <c r="N28" s="873"/>
      <c r="O28" s="874"/>
      <c r="P28" s="874"/>
      <c r="Q28" s="874">
        <v>4</v>
      </c>
      <c r="R28" s="866">
        <f t="shared" si="2"/>
        <v>15</v>
      </c>
      <c r="S28" s="867">
        <f t="shared" si="3"/>
        <v>47.61904761904761</v>
      </c>
      <c r="T28" s="659">
        <f t="shared" si="4"/>
        <v>0</v>
      </c>
    </row>
    <row r="29" spans="1:20" s="773" customFormat="1" ht="23.25" customHeight="1">
      <c r="A29" s="761" t="s">
        <v>678</v>
      </c>
      <c r="B29" s="761" t="s">
        <v>795</v>
      </c>
      <c r="C29" s="871">
        <f t="shared" si="6"/>
        <v>25</v>
      </c>
      <c r="D29" s="871">
        <v>6</v>
      </c>
      <c r="E29" s="871">
        <f>11+8</f>
        <v>19</v>
      </c>
      <c r="F29" s="871">
        <v>0</v>
      </c>
      <c r="G29" s="871">
        <v>0</v>
      </c>
      <c r="H29" s="871">
        <f t="shared" si="5"/>
        <v>25</v>
      </c>
      <c r="I29" s="871">
        <f t="shared" si="7"/>
        <v>25</v>
      </c>
      <c r="J29" s="871">
        <v>12</v>
      </c>
      <c r="K29" s="871">
        <v>0</v>
      </c>
      <c r="L29" s="873">
        <v>13</v>
      </c>
      <c r="M29" s="873"/>
      <c r="N29" s="873"/>
      <c r="O29" s="874"/>
      <c r="P29" s="874"/>
      <c r="Q29" s="874"/>
      <c r="R29" s="866">
        <f t="shared" si="2"/>
        <v>13</v>
      </c>
      <c r="S29" s="867">
        <f t="shared" si="3"/>
        <v>48</v>
      </c>
      <c r="T29" s="659">
        <f t="shared" si="4"/>
        <v>0</v>
      </c>
    </row>
    <row r="30" spans="1:20" s="773" customFormat="1" ht="23.25" customHeight="1">
      <c r="A30" s="761" t="s">
        <v>809</v>
      </c>
      <c r="B30" s="761" t="s">
        <v>779</v>
      </c>
      <c r="C30" s="871">
        <f t="shared" si="6"/>
        <v>20</v>
      </c>
      <c r="D30" s="871">
        <v>7</v>
      </c>
      <c r="E30" s="871">
        <f>7+6</f>
        <v>13</v>
      </c>
      <c r="F30" s="871">
        <v>2</v>
      </c>
      <c r="G30" s="871"/>
      <c r="H30" s="871">
        <f t="shared" si="5"/>
        <v>18</v>
      </c>
      <c r="I30" s="871">
        <f t="shared" si="7"/>
        <v>12</v>
      </c>
      <c r="J30" s="871">
        <v>8</v>
      </c>
      <c r="K30" s="871">
        <v>0</v>
      </c>
      <c r="L30" s="873">
        <v>4</v>
      </c>
      <c r="M30" s="873"/>
      <c r="N30" s="873"/>
      <c r="O30" s="874"/>
      <c r="P30" s="874"/>
      <c r="Q30" s="874">
        <v>6</v>
      </c>
      <c r="R30" s="866">
        <f t="shared" si="2"/>
        <v>10</v>
      </c>
      <c r="S30" s="867">
        <f t="shared" si="3"/>
        <v>66.66666666666666</v>
      </c>
      <c r="T30" s="659">
        <f t="shared" si="4"/>
        <v>0</v>
      </c>
    </row>
    <row r="31" spans="1:20" s="773" customFormat="1" ht="23.25" customHeight="1">
      <c r="A31" s="761" t="s">
        <v>810</v>
      </c>
      <c r="B31" s="761" t="s">
        <v>811</v>
      </c>
      <c r="C31" s="871">
        <f t="shared" si="6"/>
        <v>6</v>
      </c>
      <c r="D31" s="871">
        <v>0</v>
      </c>
      <c r="E31" s="871">
        <v>6</v>
      </c>
      <c r="F31" s="871">
        <v>0</v>
      </c>
      <c r="G31" s="871">
        <v>0</v>
      </c>
      <c r="H31" s="871">
        <f t="shared" si="5"/>
        <v>6</v>
      </c>
      <c r="I31" s="871">
        <f t="shared" si="7"/>
        <v>6</v>
      </c>
      <c r="J31" s="871">
        <v>0</v>
      </c>
      <c r="K31" s="871">
        <v>0</v>
      </c>
      <c r="L31" s="873">
        <v>6</v>
      </c>
      <c r="M31" s="873">
        <v>0</v>
      </c>
      <c r="N31" s="873">
        <v>0</v>
      </c>
      <c r="O31" s="874">
        <v>0</v>
      </c>
      <c r="P31" s="874">
        <v>0</v>
      </c>
      <c r="Q31" s="874">
        <v>0</v>
      </c>
      <c r="R31" s="866">
        <f t="shared" si="2"/>
        <v>6</v>
      </c>
      <c r="S31" s="867">
        <f t="shared" si="3"/>
        <v>0</v>
      </c>
      <c r="T31" s="659">
        <f t="shared" si="4"/>
        <v>0</v>
      </c>
    </row>
    <row r="32" spans="1:20" s="780" customFormat="1" ht="23.25" customHeight="1">
      <c r="A32" s="900" t="s">
        <v>1</v>
      </c>
      <c r="B32" s="778" t="s">
        <v>680</v>
      </c>
      <c r="C32" s="901">
        <f>C33+C40+C44+C47+C49+C57+C63+C72+C76+C80+C90+C94+C98+C109+C114</f>
        <v>10428</v>
      </c>
      <c r="D32" s="901">
        <f aca="true" t="shared" si="8" ref="D32:Q32">D33+D40+D44+D47+D49+D57+D63+D72+D76+D80+D90+D94+D98+D109+D114</f>
        <v>7904</v>
      </c>
      <c r="E32" s="901">
        <f t="shared" si="8"/>
        <v>2524</v>
      </c>
      <c r="F32" s="901">
        <f t="shared" si="8"/>
        <v>26</v>
      </c>
      <c r="G32" s="901">
        <f t="shared" si="8"/>
        <v>2</v>
      </c>
      <c r="H32" s="905">
        <f t="shared" si="5"/>
        <v>10402</v>
      </c>
      <c r="I32" s="905">
        <f>SUM(J32:P32)</f>
        <v>4692</v>
      </c>
      <c r="J32" s="901">
        <f t="shared" si="8"/>
        <v>1584</v>
      </c>
      <c r="K32" s="901">
        <f t="shared" si="8"/>
        <v>51</v>
      </c>
      <c r="L32" s="901">
        <f t="shared" si="8"/>
        <v>3033</v>
      </c>
      <c r="M32" s="901">
        <f t="shared" si="8"/>
        <v>7</v>
      </c>
      <c r="N32" s="901">
        <f t="shared" si="8"/>
        <v>2</v>
      </c>
      <c r="O32" s="901">
        <f t="shared" si="8"/>
        <v>0</v>
      </c>
      <c r="P32" s="901">
        <f t="shared" si="8"/>
        <v>15</v>
      </c>
      <c r="Q32" s="901">
        <f t="shared" si="8"/>
        <v>5710</v>
      </c>
      <c r="R32" s="902">
        <f>SUM(L32:Q32)</f>
        <v>8767</v>
      </c>
      <c r="S32" s="903">
        <f>(J32+K32)/I32*100</f>
        <v>34.846547314578004</v>
      </c>
      <c r="T32" s="904">
        <f t="shared" si="4"/>
        <v>0</v>
      </c>
    </row>
    <row r="33" spans="1:20" s="780" customFormat="1" ht="23.25" customHeight="1">
      <c r="A33" s="900">
        <v>1</v>
      </c>
      <c r="B33" s="781" t="s">
        <v>681</v>
      </c>
      <c r="C33" s="901">
        <f>SUM(C34:C39)</f>
        <v>836</v>
      </c>
      <c r="D33" s="901">
        <f aca="true" t="shared" si="9" ref="D33:Q33">SUM(D34:D39)</f>
        <v>627</v>
      </c>
      <c r="E33" s="901">
        <f t="shared" si="9"/>
        <v>209</v>
      </c>
      <c r="F33" s="901">
        <f t="shared" si="9"/>
        <v>1</v>
      </c>
      <c r="G33" s="901">
        <f t="shared" si="9"/>
        <v>0</v>
      </c>
      <c r="H33" s="901">
        <f t="shared" si="9"/>
        <v>835</v>
      </c>
      <c r="I33" s="901">
        <f t="shared" si="9"/>
        <v>413</v>
      </c>
      <c r="J33" s="901">
        <f t="shared" si="9"/>
        <v>102</v>
      </c>
      <c r="K33" s="901">
        <f t="shared" si="9"/>
        <v>0</v>
      </c>
      <c r="L33" s="901">
        <f t="shared" si="9"/>
        <v>310</v>
      </c>
      <c r="M33" s="901">
        <f t="shared" si="9"/>
        <v>1</v>
      </c>
      <c r="N33" s="901">
        <f t="shared" si="9"/>
        <v>0</v>
      </c>
      <c r="O33" s="901">
        <f t="shared" si="9"/>
        <v>0</v>
      </c>
      <c r="P33" s="901">
        <f t="shared" si="9"/>
        <v>0</v>
      </c>
      <c r="Q33" s="901">
        <f t="shared" si="9"/>
        <v>422</v>
      </c>
      <c r="R33" s="902">
        <f aca="true" t="shared" si="10" ref="R33:R100">SUM(L33:Q33)</f>
        <v>733</v>
      </c>
      <c r="S33" s="903">
        <f aca="true" t="shared" si="11" ref="S33:S100">(J33+K33)/I33*100</f>
        <v>24.69733656174334</v>
      </c>
      <c r="T33" s="904">
        <f t="shared" si="4"/>
        <v>0</v>
      </c>
    </row>
    <row r="34" spans="1:20" s="773" customFormat="1" ht="23.25" customHeight="1">
      <c r="A34" s="864">
        <v>1.1</v>
      </c>
      <c r="B34" s="763" t="s">
        <v>812</v>
      </c>
      <c r="C34" s="881">
        <f>SUM(E34+D34)</f>
        <v>104</v>
      </c>
      <c r="D34" s="881">
        <v>75</v>
      </c>
      <c r="E34" s="881">
        <v>29</v>
      </c>
      <c r="F34" s="881">
        <v>0</v>
      </c>
      <c r="G34" s="881">
        <v>0</v>
      </c>
      <c r="H34" s="881">
        <f>SUM(Q34+I34)</f>
        <v>104</v>
      </c>
      <c r="I34" s="881">
        <f>SUM(K34+L34+M34+N34+O34+P34+J34)</f>
        <v>63</v>
      </c>
      <c r="J34" s="881">
        <v>17</v>
      </c>
      <c r="K34" s="881">
        <v>0</v>
      </c>
      <c r="L34" s="881">
        <v>46</v>
      </c>
      <c r="M34" s="881">
        <v>0</v>
      </c>
      <c r="N34" s="881">
        <v>0</v>
      </c>
      <c r="O34" s="881">
        <v>0</v>
      </c>
      <c r="P34" s="881">
        <v>0</v>
      </c>
      <c r="Q34" s="881">
        <v>41</v>
      </c>
      <c r="R34" s="866">
        <f t="shared" si="10"/>
        <v>87</v>
      </c>
      <c r="S34" s="867">
        <f t="shared" si="11"/>
        <v>26.984126984126984</v>
      </c>
      <c r="T34" s="659">
        <f t="shared" si="4"/>
        <v>0</v>
      </c>
    </row>
    <row r="35" spans="1:20" s="773" customFormat="1" ht="23.25" customHeight="1">
      <c r="A35" s="864">
        <v>1.2</v>
      </c>
      <c r="B35" s="763" t="s">
        <v>780</v>
      </c>
      <c r="C35" s="881">
        <f>SUM(E35+D35)</f>
        <v>158</v>
      </c>
      <c r="D35" s="881">
        <v>111</v>
      </c>
      <c r="E35" s="881">
        <v>47</v>
      </c>
      <c r="F35" s="881">
        <v>0</v>
      </c>
      <c r="G35" s="881">
        <v>0</v>
      </c>
      <c r="H35" s="881">
        <f>SUM(Q35+I35)</f>
        <v>158</v>
      </c>
      <c r="I35" s="881">
        <f>SUM(K35+L35+M35+N35+O35+P35+J35)</f>
        <v>77</v>
      </c>
      <c r="J35" s="881">
        <v>16</v>
      </c>
      <c r="K35" s="881">
        <v>0</v>
      </c>
      <c r="L35" s="881">
        <v>60</v>
      </c>
      <c r="M35" s="881">
        <v>1</v>
      </c>
      <c r="N35" s="881">
        <v>0</v>
      </c>
      <c r="O35" s="881">
        <v>0</v>
      </c>
      <c r="P35" s="881">
        <v>0</v>
      </c>
      <c r="Q35" s="881">
        <v>81</v>
      </c>
      <c r="R35" s="866">
        <f t="shared" si="10"/>
        <v>142</v>
      </c>
      <c r="S35" s="867">
        <f t="shared" si="11"/>
        <v>20.77922077922078</v>
      </c>
      <c r="T35" s="659">
        <f t="shared" si="4"/>
        <v>0</v>
      </c>
    </row>
    <row r="36" spans="1:20" s="773" customFormat="1" ht="23.25" customHeight="1">
      <c r="A36" s="864">
        <v>1.3</v>
      </c>
      <c r="B36" s="763" t="s">
        <v>682</v>
      </c>
      <c r="C36" s="881">
        <f>SUM(E36+D36)</f>
        <v>111</v>
      </c>
      <c r="D36" s="881">
        <v>78</v>
      </c>
      <c r="E36" s="881">
        <v>33</v>
      </c>
      <c r="F36" s="881">
        <v>0</v>
      </c>
      <c r="G36" s="881">
        <v>0</v>
      </c>
      <c r="H36" s="881">
        <f>SUM(Q36+I36)</f>
        <v>111</v>
      </c>
      <c r="I36" s="881">
        <f>SUM(K36+L36+M36+N36+O36+P36+J36)</f>
        <v>59</v>
      </c>
      <c r="J36" s="881">
        <v>22</v>
      </c>
      <c r="K36" s="881">
        <v>0</v>
      </c>
      <c r="L36" s="881">
        <v>37</v>
      </c>
      <c r="M36" s="881">
        <v>0</v>
      </c>
      <c r="N36" s="881">
        <v>0</v>
      </c>
      <c r="O36" s="881">
        <v>0</v>
      </c>
      <c r="P36" s="881">
        <v>0</v>
      </c>
      <c r="Q36" s="881">
        <v>52</v>
      </c>
      <c r="R36" s="866">
        <f t="shared" si="10"/>
        <v>89</v>
      </c>
      <c r="S36" s="867">
        <f t="shared" si="11"/>
        <v>37.28813559322034</v>
      </c>
      <c r="T36" s="659">
        <f t="shared" si="4"/>
        <v>0</v>
      </c>
    </row>
    <row r="37" spans="1:20" s="773" customFormat="1" ht="23.25" customHeight="1">
      <c r="A37" s="864">
        <v>1.4</v>
      </c>
      <c r="B37" s="763" t="s">
        <v>781</v>
      </c>
      <c r="C37" s="881">
        <f>SUM(E37+D37)</f>
        <v>182</v>
      </c>
      <c r="D37" s="881">
        <v>126</v>
      </c>
      <c r="E37" s="881">
        <v>56</v>
      </c>
      <c r="F37" s="881">
        <v>0</v>
      </c>
      <c r="G37" s="881">
        <v>0</v>
      </c>
      <c r="H37" s="881">
        <f>SUM(Q37+I37)</f>
        <v>182</v>
      </c>
      <c r="I37" s="881">
        <f>SUM(K37+L37+M37+N37+O37+P37+J37)</f>
        <v>92</v>
      </c>
      <c r="J37" s="881">
        <v>24</v>
      </c>
      <c r="K37" s="881">
        <v>0</v>
      </c>
      <c r="L37" s="881">
        <v>68</v>
      </c>
      <c r="M37" s="881">
        <v>0</v>
      </c>
      <c r="N37" s="881">
        <v>0</v>
      </c>
      <c r="O37" s="881">
        <v>0</v>
      </c>
      <c r="P37" s="881">
        <v>0</v>
      </c>
      <c r="Q37" s="881">
        <v>90</v>
      </c>
      <c r="R37" s="866">
        <f t="shared" si="10"/>
        <v>158</v>
      </c>
      <c r="S37" s="867">
        <f t="shared" si="11"/>
        <v>26.08695652173913</v>
      </c>
      <c r="T37" s="659">
        <f t="shared" si="4"/>
        <v>0</v>
      </c>
    </row>
    <row r="38" spans="1:20" s="773" customFormat="1" ht="23.25" customHeight="1">
      <c r="A38" s="864">
        <v>1.5</v>
      </c>
      <c r="B38" s="763" t="s">
        <v>803</v>
      </c>
      <c r="C38" s="881">
        <f>SUM(E38+D38)</f>
        <v>141</v>
      </c>
      <c r="D38" s="881">
        <v>114</v>
      </c>
      <c r="E38" s="881">
        <v>27</v>
      </c>
      <c r="F38" s="881">
        <v>1</v>
      </c>
      <c r="G38" s="881">
        <v>0</v>
      </c>
      <c r="H38" s="881">
        <f>SUM(Q38+I38)</f>
        <v>140</v>
      </c>
      <c r="I38" s="881">
        <f>SUM(K38+L38+M38+N38+O38+P38+J38)</f>
        <v>61</v>
      </c>
      <c r="J38" s="881">
        <v>9</v>
      </c>
      <c r="K38" s="881">
        <v>0</v>
      </c>
      <c r="L38" s="881">
        <v>52</v>
      </c>
      <c r="M38" s="881">
        <v>0</v>
      </c>
      <c r="N38" s="881">
        <v>0</v>
      </c>
      <c r="O38" s="881">
        <v>0</v>
      </c>
      <c r="P38" s="881">
        <v>0</v>
      </c>
      <c r="Q38" s="881">
        <v>79</v>
      </c>
      <c r="R38" s="866">
        <f t="shared" si="10"/>
        <v>131</v>
      </c>
      <c r="S38" s="867">
        <f t="shared" si="11"/>
        <v>14.754098360655737</v>
      </c>
      <c r="T38" s="659">
        <f t="shared" si="4"/>
        <v>0</v>
      </c>
    </row>
    <row r="39" spans="1:20" s="773" customFormat="1" ht="23.25" customHeight="1">
      <c r="A39" s="864">
        <v>1.6</v>
      </c>
      <c r="B39" s="763" t="s">
        <v>813</v>
      </c>
      <c r="C39" s="881">
        <v>140</v>
      </c>
      <c r="D39" s="881">
        <v>123</v>
      </c>
      <c r="E39" s="881">
        <v>17</v>
      </c>
      <c r="F39" s="881"/>
      <c r="G39" s="881"/>
      <c r="H39" s="881">
        <v>140</v>
      </c>
      <c r="I39" s="881">
        <v>61</v>
      </c>
      <c r="J39" s="881">
        <v>14</v>
      </c>
      <c r="K39" s="881">
        <v>0</v>
      </c>
      <c r="L39" s="881">
        <v>47</v>
      </c>
      <c r="M39" s="881">
        <v>0</v>
      </c>
      <c r="N39" s="881">
        <v>0</v>
      </c>
      <c r="O39" s="881">
        <v>0</v>
      </c>
      <c r="P39" s="881">
        <v>0</v>
      </c>
      <c r="Q39" s="881">
        <v>79</v>
      </c>
      <c r="R39" s="866"/>
      <c r="S39" s="867"/>
      <c r="T39" s="659">
        <f t="shared" si="4"/>
        <v>0</v>
      </c>
    </row>
    <row r="40" spans="1:20" s="780" customFormat="1" ht="23.25" customHeight="1">
      <c r="A40" s="900">
        <v>2</v>
      </c>
      <c r="B40" s="781" t="s">
        <v>683</v>
      </c>
      <c r="C40" s="901">
        <f>SUM(C41:C43)</f>
        <v>321</v>
      </c>
      <c r="D40" s="901">
        <f aca="true" t="shared" si="12" ref="D40:Q40">SUM(D41:D43)</f>
        <v>175</v>
      </c>
      <c r="E40" s="901">
        <f t="shared" si="12"/>
        <v>146</v>
      </c>
      <c r="F40" s="901">
        <f t="shared" si="12"/>
        <v>1</v>
      </c>
      <c r="G40" s="901">
        <f t="shared" si="12"/>
        <v>0</v>
      </c>
      <c r="H40" s="905">
        <f t="shared" si="5"/>
        <v>320</v>
      </c>
      <c r="I40" s="905">
        <f>SUM(J40:P40)</f>
        <v>171</v>
      </c>
      <c r="J40" s="901">
        <f t="shared" si="12"/>
        <v>99</v>
      </c>
      <c r="K40" s="901">
        <f t="shared" si="12"/>
        <v>4</v>
      </c>
      <c r="L40" s="901">
        <f t="shared" si="12"/>
        <v>65</v>
      </c>
      <c r="M40" s="901">
        <f t="shared" si="12"/>
        <v>0</v>
      </c>
      <c r="N40" s="901">
        <f t="shared" si="12"/>
        <v>1</v>
      </c>
      <c r="O40" s="901">
        <f t="shared" si="12"/>
        <v>0</v>
      </c>
      <c r="P40" s="901">
        <f t="shared" si="12"/>
        <v>2</v>
      </c>
      <c r="Q40" s="901">
        <f t="shared" si="12"/>
        <v>149</v>
      </c>
      <c r="R40" s="902">
        <f t="shared" si="10"/>
        <v>217</v>
      </c>
      <c r="S40" s="903">
        <f t="shared" si="11"/>
        <v>60.23391812865497</v>
      </c>
      <c r="T40" s="904">
        <f t="shared" si="4"/>
        <v>0</v>
      </c>
    </row>
    <row r="41" spans="1:20" s="773" customFormat="1" ht="23.25" customHeight="1">
      <c r="A41" s="864">
        <v>2.1</v>
      </c>
      <c r="B41" s="764" t="s">
        <v>684</v>
      </c>
      <c r="C41" s="882">
        <f>D41+E41</f>
        <v>68</v>
      </c>
      <c r="D41" s="882">
        <v>11</v>
      </c>
      <c r="E41" s="882">
        <v>57</v>
      </c>
      <c r="F41" s="882">
        <v>0</v>
      </c>
      <c r="G41" s="882"/>
      <c r="H41" s="882">
        <f t="shared" si="5"/>
        <v>68</v>
      </c>
      <c r="I41" s="882">
        <f>J41+K41+L41+M41+N41+O41+P41</f>
        <v>57</v>
      </c>
      <c r="J41" s="882">
        <v>55</v>
      </c>
      <c r="K41" s="882">
        <v>0</v>
      </c>
      <c r="L41" s="882">
        <v>2</v>
      </c>
      <c r="M41" s="882"/>
      <c r="N41" s="882"/>
      <c r="O41" s="882"/>
      <c r="P41" s="883"/>
      <c r="Q41" s="884">
        <v>11</v>
      </c>
      <c r="R41" s="866">
        <f t="shared" si="10"/>
        <v>13</v>
      </c>
      <c r="S41" s="867">
        <f t="shared" si="11"/>
        <v>96.49122807017544</v>
      </c>
      <c r="T41" s="659">
        <f t="shared" si="4"/>
        <v>0</v>
      </c>
    </row>
    <row r="42" spans="1:20" s="773" customFormat="1" ht="23.25" customHeight="1">
      <c r="A42" s="864">
        <v>2.2</v>
      </c>
      <c r="B42" s="764" t="s">
        <v>685</v>
      </c>
      <c r="C42" s="882">
        <f>D42+E42</f>
        <v>122</v>
      </c>
      <c r="D42" s="882">
        <v>78</v>
      </c>
      <c r="E42" s="882">
        <v>44</v>
      </c>
      <c r="F42" s="882">
        <f>C42-H42</f>
        <v>1</v>
      </c>
      <c r="G42" s="882"/>
      <c r="H42" s="882">
        <f t="shared" si="5"/>
        <v>121</v>
      </c>
      <c r="I42" s="882">
        <f>J42+K42+L42+M42+N42+O42+P42</f>
        <v>51</v>
      </c>
      <c r="J42" s="882">
        <v>28</v>
      </c>
      <c r="K42" s="882">
        <v>1</v>
      </c>
      <c r="L42" s="882">
        <v>22</v>
      </c>
      <c r="M42" s="882"/>
      <c r="N42" s="882"/>
      <c r="O42" s="882"/>
      <c r="P42" s="883">
        <v>0</v>
      </c>
      <c r="Q42" s="884">
        <v>70</v>
      </c>
      <c r="R42" s="866">
        <f t="shared" si="10"/>
        <v>92</v>
      </c>
      <c r="S42" s="867">
        <f t="shared" si="11"/>
        <v>56.86274509803921</v>
      </c>
      <c r="T42" s="659">
        <f t="shared" si="4"/>
        <v>0</v>
      </c>
    </row>
    <row r="43" spans="1:20" s="773" customFormat="1" ht="23.25" customHeight="1">
      <c r="A43" s="864">
        <v>2.3</v>
      </c>
      <c r="B43" s="764" t="s">
        <v>686</v>
      </c>
      <c r="C43" s="882">
        <f>D43+E43</f>
        <v>131</v>
      </c>
      <c r="D43" s="882">
        <v>86</v>
      </c>
      <c r="E43" s="882">
        <v>45</v>
      </c>
      <c r="F43" s="882"/>
      <c r="G43" s="882"/>
      <c r="H43" s="882">
        <f t="shared" si="5"/>
        <v>131</v>
      </c>
      <c r="I43" s="882">
        <f>J43+K43+L43+M43+N43+O43+P43</f>
        <v>63</v>
      </c>
      <c r="J43" s="882">
        <v>16</v>
      </c>
      <c r="K43" s="882">
        <v>3</v>
      </c>
      <c r="L43" s="882">
        <v>41</v>
      </c>
      <c r="M43" s="882"/>
      <c r="N43" s="882">
        <v>1</v>
      </c>
      <c r="O43" s="882"/>
      <c r="P43" s="883">
        <v>2</v>
      </c>
      <c r="Q43" s="884">
        <v>68</v>
      </c>
      <c r="R43" s="866">
        <f t="shared" si="10"/>
        <v>112</v>
      </c>
      <c r="S43" s="867">
        <f t="shared" si="11"/>
        <v>30.158730158730158</v>
      </c>
      <c r="T43" s="659">
        <f t="shared" si="4"/>
        <v>0</v>
      </c>
    </row>
    <row r="44" spans="1:20" s="780" customFormat="1" ht="23.25" customHeight="1">
      <c r="A44" s="900">
        <v>3</v>
      </c>
      <c r="B44" s="781" t="s">
        <v>688</v>
      </c>
      <c r="C44" s="901">
        <f>C45+C46</f>
        <v>192</v>
      </c>
      <c r="D44" s="901">
        <f aca="true" t="shared" si="13" ref="D44:Q44">D45+D46</f>
        <v>132</v>
      </c>
      <c r="E44" s="901">
        <f t="shared" si="13"/>
        <v>60</v>
      </c>
      <c r="F44" s="901">
        <f t="shared" si="13"/>
        <v>3</v>
      </c>
      <c r="G44" s="901">
        <f t="shared" si="13"/>
        <v>0</v>
      </c>
      <c r="H44" s="905">
        <f t="shared" si="5"/>
        <v>189</v>
      </c>
      <c r="I44" s="905">
        <f aca="true" t="shared" si="14" ref="I44:I49">SUM(J44:P44)</f>
        <v>113</v>
      </c>
      <c r="J44" s="901">
        <f t="shared" si="13"/>
        <v>49</v>
      </c>
      <c r="K44" s="901">
        <f t="shared" si="13"/>
        <v>0</v>
      </c>
      <c r="L44" s="901">
        <f t="shared" si="13"/>
        <v>63</v>
      </c>
      <c r="M44" s="901">
        <f t="shared" si="13"/>
        <v>0</v>
      </c>
      <c r="N44" s="901">
        <f t="shared" si="13"/>
        <v>0</v>
      </c>
      <c r="O44" s="901">
        <f t="shared" si="13"/>
        <v>0</v>
      </c>
      <c r="P44" s="901">
        <f t="shared" si="13"/>
        <v>1</v>
      </c>
      <c r="Q44" s="901">
        <f t="shared" si="13"/>
        <v>76</v>
      </c>
      <c r="R44" s="902">
        <f t="shared" si="10"/>
        <v>140</v>
      </c>
      <c r="S44" s="903">
        <f t="shared" si="11"/>
        <v>43.36283185840708</v>
      </c>
      <c r="T44" s="904">
        <f t="shared" si="4"/>
        <v>0</v>
      </c>
    </row>
    <row r="45" spans="1:20" s="773" customFormat="1" ht="23.25" customHeight="1">
      <c r="A45" s="864">
        <v>3.1</v>
      </c>
      <c r="B45" s="760" t="s">
        <v>689</v>
      </c>
      <c r="C45" s="882">
        <f>D45+E45</f>
        <v>74</v>
      </c>
      <c r="D45" s="882">
        <v>45</v>
      </c>
      <c r="E45" s="882">
        <v>29</v>
      </c>
      <c r="F45" s="882">
        <v>3</v>
      </c>
      <c r="G45" s="882">
        <v>0</v>
      </c>
      <c r="H45" s="882">
        <f t="shared" si="5"/>
        <v>71</v>
      </c>
      <c r="I45" s="882">
        <f t="shared" si="14"/>
        <v>45</v>
      </c>
      <c r="J45" s="882">
        <v>22</v>
      </c>
      <c r="K45" s="882">
        <v>0</v>
      </c>
      <c r="L45" s="882">
        <v>22</v>
      </c>
      <c r="M45" s="882">
        <v>0</v>
      </c>
      <c r="N45" s="882">
        <v>0</v>
      </c>
      <c r="O45" s="882">
        <v>0</v>
      </c>
      <c r="P45" s="883">
        <v>1</v>
      </c>
      <c r="Q45" s="884">
        <v>26</v>
      </c>
      <c r="R45" s="866">
        <f t="shared" si="10"/>
        <v>49</v>
      </c>
      <c r="S45" s="867">
        <f t="shared" si="11"/>
        <v>48.888888888888886</v>
      </c>
      <c r="T45" s="659">
        <f t="shared" si="4"/>
        <v>0</v>
      </c>
    </row>
    <row r="46" spans="1:20" s="773" customFormat="1" ht="23.25" customHeight="1">
      <c r="A46" s="864">
        <v>3.2</v>
      </c>
      <c r="B46" s="760" t="s">
        <v>690</v>
      </c>
      <c r="C46" s="882">
        <f>D46+E46</f>
        <v>118</v>
      </c>
      <c r="D46" s="882">
        <v>87</v>
      </c>
      <c r="E46" s="882">
        <v>31</v>
      </c>
      <c r="F46" s="882">
        <v>0</v>
      </c>
      <c r="G46" s="882">
        <v>0</v>
      </c>
      <c r="H46" s="882">
        <f t="shared" si="5"/>
        <v>118</v>
      </c>
      <c r="I46" s="882">
        <f t="shared" si="14"/>
        <v>68</v>
      </c>
      <c r="J46" s="882">
        <v>27</v>
      </c>
      <c r="K46" s="882">
        <v>0</v>
      </c>
      <c r="L46" s="882">
        <v>41</v>
      </c>
      <c r="M46" s="882">
        <v>0</v>
      </c>
      <c r="N46" s="882">
        <v>0</v>
      </c>
      <c r="O46" s="882">
        <v>0</v>
      </c>
      <c r="P46" s="883">
        <v>0</v>
      </c>
      <c r="Q46" s="884">
        <v>50</v>
      </c>
      <c r="R46" s="866">
        <f t="shared" si="10"/>
        <v>91</v>
      </c>
      <c r="S46" s="867">
        <f t="shared" si="11"/>
        <v>39.705882352941174</v>
      </c>
      <c r="T46" s="659">
        <f t="shared" si="4"/>
        <v>0</v>
      </c>
    </row>
    <row r="47" spans="1:20" s="780" customFormat="1" ht="23.25" customHeight="1">
      <c r="A47" s="900">
        <v>4</v>
      </c>
      <c r="B47" s="781" t="s">
        <v>691</v>
      </c>
      <c r="C47" s="901">
        <f>SUM(C48)</f>
        <v>0</v>
      </c>
      <c r="D47" s="901">
        <f aca="true" t="shared" si="15" ref="D47:Q47">SUM(D48)</f>
        <v>0</v>
      </c>
      <c r="E47" s="901">
        <f t="shared" si="15"/>
        <v>0</v>
      </c>
      <c r="F47" s="901">
        <f t="shared" si="15"/>
        <v>0</v>
      </c>
      <c r="G47" s="901">
        <f t="shared" si="15"/>
        <v>0</v>
      </c>
      <c r="H47" s="905">
        <f t="shared" si="5"/>
        <v>0</v>
      </c>
      <c r="I47" s="905">
        <f t="shared" si="14"/>
        <v>0</v>
      </c>
      <c r="J47" s="901">
        <f t="shared" si="15"/>
        <v>0</v>
      </c>
      <c r="K47" s="901">
        <f t="shared" si="15"/>
        <v>0</v>
      </c>
      <c r="L47" s="901">
        <f t="shared" si="15"/>
        <v>0</v>
      </c>
      <c r="M47" s="901">
        <f t="shared" si="15"/>
        <v>0</v>
      </c>
      <c r="N47" s="901">
        <f t="shared" si="15"/>
        <v>0</v>
      </c>
      <c r="O47" s="901">
        <f t="shared" si="15"/>
        <v>0</v>
      </c>
      <c r="P47" s="901">
        <f t="shared" si="15"/>
        <v>0</v>
      </c>
      <c r="Q47" s="901">
        <f t="shared" si="15"/>
        <v>0</v>
      </c>
      <c r="R47" s="902">
        <f t="shared" si="10"/>
        <v>0</v>
      </c>
      <c r="S47" s="903" t="e">
        <f t="shared" si="11"/>
        <v>#DIV/0!</v>
      </c>
      <c r="T47" s="904">
        <f t="shared" si="4"/>
        <v>0</v>
      </c>
    </row>
    <row r="48" spans="1:20" s="773" customFormat="1" ht="23.25" customHeight="1">
      <c r="A48" s="864" t="s">
        <v>167</v>
      </c>
      <c r="B48" s="762" t="s">
        <v>692</v>
      </c>
      <c r="C48" s="865"/>
      <c r="D48" s="865"/>
      <c r="E48" s="865"/>
      <c r="F48" s="865"/>
      <c r="G48" s="865"/>
      <c r="H48" s="868">
        <f t="shared" si="5"/>
        <v>0</v>
      </c>
      <c r="I48" s="868">
        <f t="shared" si="14"/>
        <v>0</v>
      </c>
      <c r="J48" s="865"/>
      <c r="K48" s="865"/>
      <c r="L48" s="869"/>
      <c r="M48" s="869"/>
      <c r="N48" s="869"/>
      <c r="O48" s="866"/>
      <c r="P48" s="866"/>
      <c r="Q48" s="866"/>
      <c r="R48" s="866">
        <f t="shared" si="10"/>
        <v>0</v>
      </c>
      <c r="S48" s="867" t="e">
        <f t="shared" si="11"/>
        <v>#DIV/0!</v>
      </c>
      <c r="T48" s="659">
        <f t="shared" si="4"/>
        <v>0</v>
      </c>
    </row>
    <row r="49" spans="1:20" s="780" customFormat="1" ht="23.25" customHeight="1">
      <c r="A49" s="900">
        <v>5</v>
      </c>
      <c r="B49" s="781" t="s">
        <v>693</v>
      </c>
      <c r="C49" s="901">
        <f>SUM(C50:C56)</f>
        <v>2237</v>
      </c>
      <c r="D49" s="901">
        <f aca="true" t="shared" si="16" ref="D49:Q49">SUM(D50:D56)</f>
        <v>1884</v>
      </c>
      <c r="E49" s="901">
        <f t="shared" si="16"/>
        <v>353</v>
      </c>
      <c r="F49" s="901">
        <f t="shared" si="16"/>
        <v>4</v>
      </c>
      <c r="G49" s="901">
        <f t="shared" si="16"/>
        <v>0</v>
      </c>
      <c r="H49" s="905">
        <f t="shared" si="5"/>
        <v>2233</v>
      </c>
      <c r="I49" s="905">
        <f t="shared" si="14"/>
        <v>741</v>
      </c>
      <c r="J49" s="901">
        <f t="shared" si="16"/>
        <v>251</v>
      </c>
      <c r="K49" s="901">
        <f t="shared" si="16"/>
        <v>6</v>
      </c>
      <c r="L49" s="901">
        <f t="shared" si="16"/>
        <v>483</v>
      </c>
      <c r="M49" s="901">
        <f t="shared" si="16"/>
        <v>0</v>
      </c>
      <c r="N49" s="901">
        <f t="shared" si="16"/>
        <v>0</v>
      </c>
      <c r="O49" s="901">
        <f t="shared" si="16"/>
        <v>0</v>
      </c>
      <c r="P49" s="901">
        <f t="shared" si="16"/>
        <v>1</v>
      </c>
      <c r="Q49" s="901">
        <f t="shared" si="16"/>
        <v>1492</v>
      </c>
      <c r="R49" s="902">
        <f t="shared" si="10"/>
        <v>1976</v>
      </c>
      <c r="S49" s="903">
        <f t="shared" si="11"/>
        <v>34.68286099865047</v>
      </c>
      <c r="T49" s="904">
        <f t="shared" si="4"/>
        <v>0</v>
      </c>
    </row>
    <row r="50" spans="1:20" s="773" customFormat="1" ht="23.25" customHeight="1">
      <c r="A50" s="870" t="s">
        <v>177</v>
      </c>
      <c r="B50" s="765" t="s">
        <v>694</v>
      </c>
      <c r="C50" s="875">
        <v>108</v>
      </c>
      <c r="D50" s="875">
        <v>94</v>
      </c>
      <c r="E50" s="875">
        <v>14</v>
      </c>
      <c r="F50" s="875">
        <v>0</v>
      </c>
      <c r="G50" s="875">
        <v>0</v>
      </c>
      <c r="H50" s="875">
        <v>108</v>
      </c>
      <c r="I50" s="875">
        <v>24</v>
      </c>
      <c r="J50" s="875">
        <v>13</v>
      </c>
      <c r="K50" s="875">
        <v>0</v>
      </c>
      <c r="L50" s="879">
        <v>11</v>
      </c>
      <c r="M50" s="875">
        <v>0</v>
      </c>
      <c r="N50" s="875">
        <v>0</v>
      </c>
      <c r="O50" s="875">
        <v>0</v>
      </c>
      <c r="P50" s="875">
        <v>0</v>
      </c>
      <c r="Q50" s="880">
        <v>84</v>
      </c>
      <c r="R50" s="866">
        <f t="shared" si="10"/>
        <v>95</v>
      </c>
      <c r="S50" s="867">
        <f t="shared" si="11"/>
        <v>54.166666666666664</v>
      </c>
      <c r="T50" s="659">
        <f t="shared" si="4"/>
        <v>0</v>
      </c>
    </row>
    <row r="51" spans="1:20" s="773" customFormat="1" ht="23.25" customHeight="1">
      <c r="A51" s="870" t="s">
        <v>178</v>
      </c>
      <c r="B51" s="765" t="s">
        <v>695</v>
      </c>
      <c r="C51" s="875">
        <v>271</v>
      </c>
      <c r="D51" s="875">
        <v>222</v>
      </c>
      <c r="E51" s="875">
        <v>49</v>
      </c>
      <c r="F51" s="875">
        <v>0</v>
      </c>
      <c r="G51" s="875">
        <v>0</v>
      </c>
      <c r="H51" s="875">
        <v>271</v>
      </c>
      <c r="I51" s="875">
        <v>116</v>
      </c>
      <c r="J51" s="875">
        <v>32</v>
      </c>
      <c r="K51" s="875">
        <v>0</v>
      </c>
      <c r="L51" s="879">
        <v>83</v>
      </c>
      <c r="M51" s="875">
        <v>0</v>
      </c>
      <c r="N51" s="875">
        <v>0</v>
      </c>
      <c r="O51" s="875">
        <v>0</v>
      </c>
      <c r="P51" s="875">
        <v>1</v>
      </c>
      <c r="Q51" s="880">
        <v>155</v>
      </c>
      <c r="R51" s="866">
        <f t="shared" si="10"/>
        <v>239</v>
      </c>
      <c r="S51" s="867">
        <f t="shared" si="11"/>
        <v>27.586206896551722</v>
      </c>
      <c r="T51" s="659">
        <f t="shared" si="4"/>
        <v>0</v>
      </c>
    </row>
    <row r="52" spans="1:20" s="773" customFormat="1" ht="23.25" customHeight="1">
      <c r="A52" s="870" t="s">
        <v>179</v>
      </c>
      <c r="B52" s="765" t="s">
        <v>806</v>
      </c>
      <c r="C52" s="875">
        <v>308</v>
      </c>
      <c r="D52" s="875">
        <v>263</v>
      </c>
      <c r="E52" s="875">
        <v>45</v>
      </c>
      <c r="F52" s="875">
        <v>2</v>
      </c>
      <c r="G52" s="875">
        <v>0</v>
      </c>
      <c r="H52" s="875">
        <v>306</v>
      </c>
      <c r="I52" s="875">
        <v>113</v>
      </c>
      <c r="J52" s="875">
        <v>30</v>
      </c>
      <c r="K52" s="875">
        <v>5</v>
      </c>
      <c r="L52" s="879">
        <v>78</v>
      </c>
      <c r="M52" s="875">
        <v>0</v>
      </c>
      <c r="N52" s="875">
        <v>0</v>
      </c>
      <c r="O52" s="875">
        <v>0</v>
      </c>
      <c r="P52" s="875">
        <v>0</v>
      </c>
      <c r="Q52" s="880">
        <v>193</v>
      </c>
      <c r="R52" s="866">
        <f t="shared" si="10"/>
        <v>271</v>
      </c>
      <c r="S52" s="867">
        <f t="shared" si="11"/>
        <v>30.973451327433626</v>
      </c>
      <c r="T52" s="659">
        <f t="shared" si="4"/>
        <v>0</v>
      </c>
    </row>
    <row r="53" spans="1:20" s="773" customFormat="1" ht="23.25" customHeight="1">
      <c r="A53" s="870" t="s">
        <v>697</v>
      </c>
      <c r="B53" s="765" t="s">
        <v>698</v>
      </c>
      <c r="C53" s="875">
        <v>242</v>
      </c>
      <c r="D53" s="875">
        <v>177</v>
      </c>
      <c r="E53" s="875">
        <v>65</v>
      </c>
      <c r="F53" s="875">
        <v>2</v>
      </c>
      <c r="G53" s="875">
        <v>0</v>
      </c>
      <c r="H53" s="875">
        <v>240</v>
      </c>
      <c r="I53" s="875">
        <v>113</v>
      </c>
      <c r="J53" s="875">
        <v>37</v>
      </c>
      <c r="K53" s="875">
        <v>1</v>
      </c>
      <c r="L53" s="879">
        <v>75</v>
      </c>
      <c r="M53" s="875">
        <v>0</v>
      </c>
      <c r="N53" s="875">
        <v>0</v>
      </c>
      <c r="O53" s="875">
        <v>0</v>
      </c>
      <c r="P53" s="875">
        <v>0</v>
      </c>
      <c r="Q53" s="880">
        <v>127</v>
      </c>
      <c r="R53" s="866">
        <f t="shared" si="10"/>
        <v>202</v>
      </c>
      <c r="S53" s="867">
        <f t="shared" si="11"/>
        <v>33.6283185840708</v>
      </c>
      <c r="T53" s="659">
        <f t="shared" si="4"/>
        <v>0</v>
      </c>
    </row>
    <row r="54" spans="1:20" s="773" customFormat="1" ht="23.25" customHeight="1">
      <c r="A54" s="870" t="s">
        <v>699</v>
      </c>
      <c r="B54" s="765" t="s">
        <v>700</v>
      </c>
      <c r="C54" s="875">
        <v>426</v>
      </c>
      <c r="D54" s="875">
        <v>381</v>
      </c>
      <c r="E54" s="875">
        <v>45</v>
      </c>
      <c r="F54" s="875">
        <v>0</v>
      </c>
      <c r="G54" s="875">
        <v>0</v>
      </c>
      <c r="H54" s="875">
        <v>426</v>
      </c>
      <c r="I54" s="875">
        <v>103</v>
      </c>
      <c r="J54" s="875">
        <v>35</v>
      </c>
      <c r="K54" s="875">
        <v>0</v>
      </c>
      <c r="L54" s="879">
        <v>68</v>
      </c>
      <c r="M54" s="875">
        <v>0</v>
      </c>
      <c r="N54" s="875">
        <v>0</v>
      </c>
      <c r="O54" s="875">
        <v>0</v>
      </c>
      <c r="P54" s="875">
        <v>0</v>
      </c>
      <c r="Q54" s="880">
        <v>323</v>
      </c>
      <c r="R54" s="866">
        <f t="shared" si="10"/>
        <v>391</v>
      </c>
      <c r="S54" s="867">
        <f t="shared" si="11"/>
        <v>33.980582524271846</v>
      </c>
      <c r="T54" s="659">
        <f t="shared" si="4"/>
        <v>0</v>
      </c>
    </row>
    <row r="55" spans="1:20" s="773" customFormat="1" ht="23.25" customHeight="1">
      <c r="A55" s="870" t="s">
        <v>701</v>
      </c>
      <c r="B55" s="765" t="s">
        <v>702</v>
      </c>
      <c r="C55" s="875">
        <v>472</v>
      </c>
      <c r="D55" s="875">
        <v>399</v>
      </c>
      <c r="E55" s="875">
        <v>73</v>
      </c>
      <c r="F55" s="875">
        <v>0</v>
      </c>
      <c r="G55" s="875">
        <v>0</v>
      </c>
      <c r="H55" s="875">
        <v>472</v>
      </c>
      <c r="I55" s="875">
        <v>147</v>
      </c>
      <c r="J55" s="875">
        <v>57</v>
      </c>
      <c r="K55" s="875">
        <v>0</v>
      </c>
      <c r="L55" s="879">
        <v>90</v>
      </c>
      <c r="M55" s="875">
        <v>0</v>
      </c>
      <c r="N55" s="875">
        <v>0</v>
      </c>
      <c r="O55" s="875">
        <v>0</v>
      </c>
      <c r="P55" s="875">
        <v>0</v>
      </c>
      <c r="Q55" s="880">
        <v>325</v>
      </c>
      <c r="R55" s="866">
        <f t="shared" si="10"/>
        <v>415</v>
      </c>
      <c r="S55" s="867">
        <f t="shared" si="11"/>
        <v>38.775510204081634</v>
      </c>
      <c r="T55" s="659">
        <f t="shared" si="4"/>
        <v>0</v>
      </c>
    </row>
    <row r="56" spans="1:20" s="773" customFormat="1" ht="23.25" customHeight="1">
      <c r="A56" s="870" t="s">
        <v>703</v>
      </c>
      <c r="B56" s="765" t="s">
        <v>704</v>
      </c>
      <c r="C56" s="875">
        <v>410</v>
      </c>
      <c r="D56" s="875">
        <v>348</v>
      </c>
      <c r="E56" s="875">
        <v>62</v>
      </c>
      <c r="F56" s="875">
        <v>0</v>
      </c>
      <c r="G56" s="875">
        <v>0</v>
      </c>
      <c r="H56" s="875">
        <v>410</v>
      </c>
      <c r="I56" s="875">
        <v>125</v>
      </c>
      <c r="J56" s="875">
        <v>47</v>
      </c>
      <c r="K56" s="875">
        <v>0</v>
      </c>
      <c r="L56" s="879">
        <v>78</v>
      </c>
      <c r="M56" s="875">
        <v>0</v>
      </c>
      <c r="N56" s="875">
        <v>0</v>
      </c>
      <c r="O56" s="875">
        <v>0</v>
      </c>
      <c r="P56" s="875">
        <v>0</v>
      </c>
      <c r="Q56" s="880">
        <v>285</v>
      </c>
      <c r="R56" s="866">
        <f t="shared" si="10"/>
        <v>363</v>
      </c>
      <c r="S56" s="867">
        <f t="shared" si="11"/>
        <v>37.6</v>
      </c>
      <c r="T56" s="659">
        <f t="shared" si="4"/>
        <v>0</v>
      </c>
    </row>
    <row r="57" spans="1:20" s="780" customFormat="1" ht="23.25" customHeight="1">
      <c r="A57" s="900">
        <v>6</v>
      </c>
      <c r="B57" s="781" t="s">
        <v>705</v>
      </c>
      <c r="C57" s="901">
        <f>SUM(C58:C62)</f>
        <v>549</v>
      </c>
      <c r="D57" s="901">
        <f aca="true" t="shared" si="17" ref="D57:Q57">SUM(D58:D62)</f>
        <v>357</v>
      </c>
      <c r="E57" s="901">
        <f t="shared" si="17"/>
        <v>192</v>
      </c>
      <c r="F57" s="901">
        <f t="shared" si="17"/>
        <v>5</v>
      </c>
      <c r="G57" s="901">
        <f t="shared" si="17"/>
        <v>0</v>
      </c>
      <c r="H57" s="905">
        <f aca="true" t="shared" si="18" ref="H57:H76">I57+Q57</f>
        <v>544</v>
      </c>
      <c r="I57" s="905">
        <f aca="true" t="shared" si="19" ref="I57:I62">SUM(J57:P57)</f>
        <v>277</v>
      </c>
      <c r="J57" s="901">
        <f t="shared" si="17"/>
        <v>108</v>
      </c>
      <c r="K57" s="901">
        <f t="shared" si="17"/>
        <v>5</v>
      </c>
      <c r="L57" s="901">
        <f t="shared" si="17"/>
        <v>159</v>
      </c>
      <c r="M57" s="901">
        <f t="shared" si="17"/>
        <v>2</v>
      </c>
      <c r="N57" s="901">
        <f t="shared" si="17"/>
        <v>0</v>
      </c>
      <c r="O57" s="901">
        <f t="shared" si="17"/>
        <v>0</v>
      </c>
      <c r="P57" s="901">
        <f t="shared" si="17"/>
        <v>3</v>
      </c>
      <c r="Q57" s="901">
        <f t="shared" si="17"/>
        <v>267</v>
      </c>
      <c r="R57" s="902">
        <f t="shared" si="10"/>
        <v>431</v>
      </c>
      <c r="S57" s="903">
        <f t="shared" si="11"/>
        <v>40.794223826714806</v>
      </c>
      <c r="T57" s="904">
        <f t="shared" si="4"/>
        <v>0</v>
      </c>
    </row>
    <row r="58" spans="1:20" s="773" customFormat="1" ht="23.25" customHeight="1">
      <c r="A58" s="864" t="s">
        <v>814</v>
      </c>
      <c r="B58" s="766" t="s">
        <v>800</v>
      </c>
      <c r="C58" s="885">
        <f>D58+E58</f>
        <v>70</v>
      </c>
      <c r="D58" s="885">
        <v>35</v>
      </c>
      <c r="E58" s="885">
        <v>35</v>
      </c>
      <c r="F58" s="885">
        <v>2</v>
      </c>
      <c r="G58" s="886"/>
      <c r="H58" s="885">
        <f t="shared" si="18"/>
        <v>68</v>
      </c>
      <c r="I58" s="885">
        <f t="shared" si="19"/>
        <v>56</v>
      </c>
      <c r="J58" s="885">
        <v>20</v>
      </c>
      <c r="K58" s="885">
        <v>1</v>
      </c>
      <c r="L58" s="885">
        <v>34</v>
      </c>
      <c r="M58" s="885">
        <v>1</v>
      </c>
      <c r="N58" s="885"/>
      <c r="O58" s="885"/>
      <c r="P58" s="885"/>
      <c r="Q58" s="885">
        <v>12</v>
      </c>
      <c r="R58" s="866">
        <f t="shared" si="10"/>
        <v>47</v>
      </c>
      <c r="S58" s="867">
        <f t="shared" si="11"/>
        <v>37.5</v>
      </c>
      <c r="T58" s="659">
        <f t="shared" si="4"/>
        <v>0</v>
      </c>
    </row>
    <row r="59" spans="1:20" s="773" customFormat="1" ht="23.25" customHeight="1">
      <c r="A59" s="864" t="s">
        <v>815</v>
      </c>
      <c r="B59" s="766" t="s">
        <v>801</v>
      </c>
      <c r="C59" s="885">
        <f>D59+E59</f>
        <v>78</v>
      </c>
      <c r="D59" s="885">
        <v>58</v>
      </c>
      <c r="E59" s="885">
        <v>20</v>
      </c>
      <c r="F59" s="885">
        <v>2</v>
      </c>
      <c r="G59" s="885"/>
      <c r="H59" s="885">
        <f t="shared" si="18"/>
        <v>76</v>
      </c>
      <c r="I59" s="885">
        <f t="shared" si="19"/>
        <v>27</v>
      </c>
      <c r="J59" s="885">
        <v>8</v>
      </c>
      <c r="K59" s="885"/>
      <c r="L59" s="885">
        <v>19</v>
      </c>
      <c r="M59" s="885"/>
      <c r="N59" s="885"/>
      <c r="O59" s="885"/>
      <c r="P59" s="885"/>
      <c r="Q59" s="885">
        <v>49</v>
      </c>
      <c r="R59" s="866">
        <f t="shared" si="10"/>
        <v>68</v>
      </c>
      <c r="S59" s="867">
        <f t="shared" si="11"/>
        <v>29.629629629629626</v>
      </c>
      <c r="T59" s="659">
        <f t="shared" si="4"/>
        <v>0</v>
      </c>
    </row>
    <row r="60" spans="1:20" s="773" customFormat="1" ht="23.25" customHeight="1">
      <c r="A60" s="864" t="s">
        <v>816</v>
      </c>
      <c r="B60" s="766" t="s">
        <v>708</v>
      </c>
      <c r="C60" s="885">
        <f>D60+E60</f>
        <v>167</v>
      </c>
      <c r="D60" s="885">
        <v>110</v>
      </c>
      <c r="E60" s="885">
        <v>57</v>
      </c>
      <c r="F60" s="885">
        <v>1</v>
      </c>
      <c r="G60" s="885"/>
      <c r="H60" s="885">
        <f t="shared" si="18"/>
        <v>166</v>
      </c>
      <c r="I60" s="885">
        <f t="shared" si="19"/>
        <v>87</v>
      </c>
      <c r="J60" s="885">
        <v>32</v>
      </c>
      <c r="K60" s="885">
        <v>1</v>
      </c>
      <c r="L60" s="885">
        <v>50</v>
      </c>
      <c r="M60" s="885">
        <v>1</v>
      </c>
      <c r="N60" s="885"/>
      <c r="O60" s="885"/>
      <c r="P60" s="885">
        <v>3</v>
      </c>
      <c r="Q60" s="885">
        <v>79</v>
      </c>
      <c r="R60" s="866">
        <f t="shared" si="10"/>
        <v>133</v>
      </c>
      <c r="S60" s="867">
        <f t="shared" si="11"/>
        <v>37.93103448275862</v>
      </c>
      <c r="T60" s="659">
        <f t="shared" si="4"/>
        <v>0</v>
      </c>
    </row>
    <row r="61" spans="1:20" s="773" customFormat="1" ht="23.25" customHeight="1">
      <c r="A61" s="864" t="s">
        <v>817</v>
      </c>
      <c r="B61" s="766" t="s">
        <v>802</v>
      </c>
      <c r="C61" s="885">
        <f>D61+E61</f>
        <v>128</v>
      </c>
      <c r="D61" s="885">
        <v>81</v>
      </c>
      <c r="E61" s="885">
        <v>47</v>
      </c>
      <c r="F61" s="885"/>
      <c r="G61" s="885"/>
      <c r="H61" s="885">
        <f t="shared" si="18"/>
        <v>128</v>
      </c>
      <c r="I61" s="885">
        <f t="shared" si="19"/>
        <v>65</v>
      </c>
      <c r="J61" s="885">
        <v>26</v>
      </c>
      <c r="K61" s="885">
        <v>2</v>
      </c>
      <c r="L61" s="885">
        <v>37</v>
      </c>
      <c r="M61" s="885"/>
      <c r="N61" s="885"/>
      <c r="O61" s="885"/>
      <c r="P61" s="885"/>
      <c r="Q61" s="885">
        <v>63</v>
      </c>
      <c r="R61" s="866">
        <f t="shared" si="10"/>
        <v>100</v>
      </c>
      <c r="S61" s="867">
        <f t="shared" si="11"/>
        <v>43.07692307692308</v>
      </c>
      <c r="T61" s="659">
        <f t="shared" si="4"/>
        <v>0</v>
      </c>
    </row>
    <row r="62" spans="1:20" s="773" customFormat="1" ht="23.25" customHeight="1">
      <c r="A62" s="864" t="s">
        <v>818</v>
      </c>
      <c r="B62" s="766" t="s">
        <v>782</v>
      </c>
      <c r="C62" s="885">
        <f>D62+E62</f>
        <v>106</v>
      </c>
      <c r="D62" s="885">
        <v>73</v>
      </c>
      <c r="E62" s="885">
        <v>33</v>
      </c>
      <c r="F62" s="885"/>
      <c r="G62" s="885"/>
      <c r="H62" s="885">
        <f t="shared" si="18"/>
        <v>106</v>
      </c>
      <c r="I62" s="885">
        <f t="shared" si="19"/>
        <v>42</v>
      </c>
      <c r="J62" s="885">
        <v>22</v>
      </c>
      <c r="K62" s="885">
        <v>1</v>
      </c>
      <c r="L62" s="885">
        <v>19</v>
      </c>
      <c r="M62" s="885"/>
      <c r="N62" s="885"/>
      <c r="O62" s="885"/>
      <c r="P62" s="885"/>
      <c r="Q62" s="885">
        <v>64</v>
      </c>
      <c r="R62" s="866">
        <f t="shared" si="10"/>
        <v>83</v>
      </c>
      <c r="S62" s="867">
        <f t="shared" si="11"/>
        <v>54.761904761904766</v>
      </c>
      <c r="T62" s="659">
        <f t="shared" si="4"/>
        <v>0</v>
      </c>
    </row>
    <row r="63" spans="1:20" s="780" customFormat="1" ht="23.25" customHeight="1">
      <c r="A63" s="900">
        <v>7</v>
      </c>
      <c r="B63" s="778" t="s">
        <v>793</v>
      </c>
      <c r="C63" s="901">
        <f>SUM(C64:C71)</f>
        <v>826</v>
      </c>
      <c r="D63" s="901">
        <f aca="true" t="shared" si="20" ref="D63:Q63">SUM(D64:D71)</f>
        <v>602</v>
      </c>
      <c r="E63" s="901">
        <f t="shared" si="20"/>
        <v>224</v>
      </c>
      <c r="F63" s="901">
        <f t="shared" si="20"/>
        <v>3</v>
      </c>
      <c r="G63" s="901">
        <f t="shared" si="20"/>
        <v>2</v>
      </c>
      <c r="H63" s="901">
        <f t="shared" si="20"/>
        <v>823</v>
      </c>
      <c r="I63" s="901">
        <f t="shared" si="20"/>
        <v>353</v>
      </c>
      <c r="J63" s="901">
        <f t="shared" si="20"/>
        <v>144</v>
      </c>
      <c r="K63" s="901">
        <f t="shared" si="20"/>
        <v>4</v>
      </c>
      <c r="L63" s="901">
        <f t="shared" si="20"/>
        <v>202</v>
      </c>
      <c r="M63" s="901">
        <f t="shared" si="20"/>
        <v>0</v>
      </c>
      <c r="N63" s="901">
        <f t="shared" si="20"/>
        <v>0</v>
      </c>
      <c r="O63" s="901">
        <f t="shared" si="20"/>
        <v>0</v>
      </c>
      <c r="P63" s="901">
        <f t="shared" si="20"/>
        <v>3</v>
      </c>
      <c r="Q63" s="901">
        <f t="shared" si="20"/>
        <v>470</v>
      </c>
      <c r="R63" s="902">
        <f t="shared" si="10"/>
        <v>675</v>
      </c>
      <c r="S63" s="903">
        <f t="shared" si="11"/>
        <v>41.92634560906516</v>
      </c>
      <c r="T63" s="904">
        <f t="shared" si="4"/>
        <v>0</v>
      </c>
    </row>
    <row r="64" spans="1:20" s="773" customFormat="1" ht="23.25" customHeight="1">
      <c r="A64" s="870" t="s">
        <v>819</v>
      </c>
      <c r="B64" s="767" t="s">
        <v>709</v>
      </c>
      <c r="C64" s="881">
        <f aca="true" t="shared" si="21" ref="C64:C71">D64+E64</f>
        <v>32</v>
      </c>
      <c r="D64" s="881">
        <v>11</v>
      </c>
      <c r="E64" s="881">
        <f>4+7+10</f>
        <v>21</v>
      </c>
      <c r="F64" s="881">
        <v>0</v>
      </c>
      <c r="G64" s="881"/>
      <c r="H64" s="881">
        <f t="shared" si="18"/>
        <v>32</v>
      </c>
      <c r="I64" s="881">
        <f aca="true" t="shared" si="22" ref="I64:I72">SUM(J64:P64)</f>
        <v>29</v>
      </c>
      <c r="J64" s="881">
        <v>16</v>
      </c>
      <c r="K64" s="881">
        <v>0</v>
      </c>
      <c r="L64" s="881">
        <v>13</v>
      </c>
      <c r="M64" s="881"/>
      <c r="N64" s="881"/>
      <c r="O64" s="881"/>
      <c r="P64" s="887"/>
      <c r="Q64" s="888">
        <v>3</v>
      </c>
      <c r="R64" s="866">
        <f t="shared" si="10"/>
        <v>16</v>
      </c>
      <c r="S64" s="867">
        <f t="shared" si="11"/>
        <v>55.172413793103445</v>
      </c>
      <c r="T64" s="659">
        <f t="shared" si="4"/>
        <v>0</v>
      </c>
    </row>
    <row r="65" spans="1:20" s="773" customFormat="1" ht="23.25" customHeight="1">
      <c r="A65" s="870" t="s">
        <v>820</v>
      </c>
      <c r="B65" s="767" t="s">
        <v>710</v>
      </c>
      <c r="C65" s="881">
        <f t="shared" si="21"/>
        <v>124</v>
      </c>
      <c r="D65" s="889">
        <v>86</v>
      </c>
      <c r="E65" s="889">
        <v>38</v>
      </c>
      <c r="F65" s="889">
        <v>0</v>
      </c>
      <c r="G65" s="889">
        <v>0</v>
      </c>
      <c r="H65" s="881">
        <f t="shared" si="18"/>
        <v>124</v>
      </c>
      <c r="I65" s="881">
        <f t="shared" si="22"/>
        <v>66</v>
      </c>
      <c r="J65" s="889">
        <v>23</v>
      </c>
      <c r="K65" s="889">
        <v>0</v>
      </c>
      <c r="L65" s="889">
        <v>40</v>
      </c>
      <c r="M65" s="889">
        <v>0</v>
      </c>
      <c r="N65" s="889">
        <v>0</v>
      </c>
      <c r="O65" s="889">
        <v>0</v>
      </c>
      <c r="P65" s="890">
        <v>3</v>
      </c>
      <c r="Q65" s="891">
        <v>58</v>
      </c>
      <c r="R65" s="866">
        <f t="shared" si="10"/>
        <v>101</v>
      </c>
      <c r="S65" s="867">
        <f t="shared" si="11"/>
        <v>34.84848484848485</v>
      </c>
      <c r="T65" s="659">
        <f t="shared" si="4"/>
        <v>0</v>
      </c>
    </row>
    <row r="66" spans="1:20" s="773" customFormat="1" ht="23.25" customHeight="1">
      <c r="A66" s="870" t="s">
        <v>821</v>
      </c>
      <c r="B66" s="767" t="s">
        <v>783</v>
      </c>
      <c r="C66" s="881">
        <f t="shared" si="21"/>
        <v>155</v>
      </c>
      <c r="D66" s="881">
        <v>125</v>
      </c>
      <c r="E66" s="881">
        <v>30</v>
      </c>
      <c r="F66" s="881">
        <v>1</v>
      </c>
      <c r="G66" s="881"/>
      <c r="H66" s="881">
        <f t="shared" si="18"/>
        <v>154</v>
      </c>
      <c r="I66" s="881">
        <f t="shared" si="22"/>
        <v>62</v>
      </c>
      <c r="J66" s="881">
        <v>20</v>
      </c>
      <c r="K66" s="881">
        <v>0</v>
      </c>
      <c r="L66" s="881">
        <v>42</v>
      </c>
      <c r="M66" s="881"/>
      <c r="N66" s="881"/>
      <c r="O66" s="881"/>
      <c r="P66" s="887">
        <v>0</v>
      </c>
      <c r="Q66" s="888">
        <v>92</v>
      </c>
      <c r="R66" s="866">
        <f t="shared" si="10"/>
        <v>134</v>
      </c>
      <c r="S66" s="867">
        <f t="shared" si="11"/>
        <v>32.25806451612903</v>
      </c>
      <c r="T66" s="659">
        <f t="shared" si="4"/>
        <v>0</v>
      </c>
    </row>
    <row r="67" spans="1:20" s="773" customFormat="1" ht="23.25" customHeight="1">
      <c r="A67" s="870" t="s">
        <v>822</v>
      </c>
      <c r="B67" s="767" t="s">
        <v>712</v>
      </c>
      <c r="C67" s="881">
        <f t="shared" si="21"/>
        <v>114</v>
      </c>
      <c r="D67" s="881">
        <v>80</v>
      </c>
      <c r="E67" s="881">
        <v>34</v>
      </c>
      <c r="F67" s="881">
        <v>2</v>
      </c>
      <c r="G67" s="881">
        <v>0</v>
      </c>
      <c r="H67" s="881">
        <f t="shared" si="18"/>
        <v>112</v>
      </c>
      <c r="I67" s="881">
        <f t="shared" si="22"/>
        <v>58</v>
      </c>
      <c r="J67" s="881">
        <v>22</v>
      </c>
      <c r="K67" s="881">
        <v>1</v>
      </c>
      <c r="L67" s="881">
        <v>35</v>
      </c>
      <c r="M67" s="881"/>
      <c r="N67" s="881"/>
      <c r="O67" s="881"/>
      <c r="P67" s="887">
        <v>0</v>
      </c>
      <c r="Q67" s="888">
        <v>54</v>
      </c>
      <c r="R67" s="866">
        <f t="shared" si="10"/>
        <v>89</v>
      </c>
      <c r="S67" s="867">
        <f t="shared" si="11"/>
        <v>39.6551724137931</v>
      </c>
      <c r="T67" s="659">
        <f t="shared" si="4"/>
        <v>0</v>
      </c>
    </row>
    <row r="68" spans="1:20" s="773" customFormat="1" ht="23.25" customHeight="1">
      <c r="A68" s="870" t="s">
        <v>823</v>
      </c>
      <c r="B68" s="767" t="s">
        <v>713</v>
      </c>
      <c r="C68" s="881">
        <f t="shared" si="21"/>
        <v>87</v>
      </c>
      <c r="D68" s="881">
        <v>58</v>
      </c>
      <c r="E68" s="881">
        <v>29</v>
      </c>
      <c r="F68" s="881">
        <v>0</v>
      </c>
      <c r="G68" s="881"/>
      <c r="H68" s="881">
        <f t="shared" si="18"/>
        <v>87</v>
      </c>
      <c r="I68" s="881">
        <f t="shared" si="22"/>
        <v>34</v>
      </c>
      <c r="J68" s="881">
        <v>22</v>
      </c>
      <c r="K68" s="881">
        <v>2</v>
      </c>
      <c r="L68" s="881">
        <v>10</v>
      </c>
      <c r="M68" s="881"/>
      <c r="N68" s="881"/>
      <c r="O68" s="881"/>
      <c r="P68" s="887">
        <v>0</v>
      </c>
      <c r="Q68" s="888">
        <v>53</v>
      </c>
      <c r="R68" s="866">
        <f t="shared" si="10"/>
        <v>63</v>
      </c>
      <c r="S68" s="867">
        <f t="shared" si="11"/>
        <v>70.58823529411765</v>
      </c>
      <c r="T68" s="659">
        <f t="shared" si="4"/>
        <v>0</v>
      </c>
    </row>
    <row r="69" spans="1:20" s="773" customFormat="1" ht="23.25" customHeight="1">
      <c r="A69" s="870" t="s">
        <v>824</v>
      </c>
      <c r="B69" s="767" t="s">
        <v>714</v>
      </c>
      <c r="C69" s="881">
        <f t="shared" si="21"/>
        <v>133</v>
      </c>
      <c r="D69" s="881">
        <v>96</v>
      </c>
      <c r="E69" s="881">
        <v>37</v>
      </c>
      <c r="F69" s="881">
        <v>0</v>
      </c>
      <c r="G69" s="881">
        <v>2</v>
      </c>
      <c r="H69" s="881">
        <f t="shared" si="18"/>
        <v>133</v>
      </c>
      <c r="I69" s="881">
        <f t="shared" si="22"/>
        <v>59</v>
      </c>
      <c r="J69" s="881">
        <v>25</v>
      </c>
      <c r="K69" s="881">
        <v>1</v>
      </c>
      <c r="L69" s="881">
        <f>34+2-3</f>
        <v>33</v>
      </c>
      <c r="M69" s="881"/>
      <c r="N69" s="881"/>
      <c r="O69" s="881"/>
      <c r="P69" s="887">
        <v>0</v>
      </c>
      <c r="Q69" s="888">
        <v>74</v>
      </c>
      <c r="R69" s="866">
        <f t="shared" si="10"/>
        <v>107</v>
      </c>
      <c r="S69" s="867">
        <f t="shared" si="11"/>
        <v>44.06779661016949</v>
      </c>
      <c r="T69" s="659">
        <f t="shared" si="4"/>
        <v>0</v>
      </c>
    </row>
    <row r="70" spans="1:20" s="773" customFormat="1" ht="23.25" customHeight="1">
      <c r="A70" s="870" t="s">
        <v>825</v>
      </c>
      <c r="B70" s="767" t="s">
        <v>826</v>
      </c>
      <c r="C70" s="881">
        <f t="shared" si="21"/>
        <v>85</v>
      </c>
      <c r="D70" s="881">
        <v>60</v>
      </c>
      <c r="E70" s="881">
        <v>25</v>
      </c>
      <c r="F70" s="881">
        <v>0</v>
      </c>
      <c r="G70" s="881">
        <v>0</v>
      </c>
      <c r="H70" s="881">
        <f t="shared" si="18"/>
        <v>85</v>
      </c>
      <c r="I70" s="881">
        <f t="shared" si="22"/>
        <v>36</v>
      </c>
      <c r="J70" s="881">
        <v>9</v>
      </c>
      <c r="K70" s="881">
        <v>0</v>
      </c>
      <c r="L70" s="881">
        <v>27</v>
      </c>
      <c r="M70" s="881">
        <v>0</v>
      </c>
      <c r="N70" s="881">
        <v>0</v>
      </c>
      <c r="O70" s="881">
        <v>0</v>
      </c>
      <c r="P70" s="887">
        <v>0</v>
      </c>
      <c r="Q70" s="888">
        <v>49</v>
      </c>
      <c r="R70" s="866">
        <f>SUM(L70:Q70)</f>
        <v>76</v>
      </c>
      <c r="S70" s="867">
        <f>(J70+K70)/I70*100</f>
        <v>25</v>
      </c>
      <c r="T70" s="659">
        <f t="shared" si="4"/>
        <v>0</v>
      </c>
    </row>
    <row r="71" spans="1:20" s="773" customFormat="1" ht="23.25" customHeight="1">
      <c r="A71" s="870" t="s">
        <v>827</v>
      </c>
      <c r="B71" s="767" t="s">
        <v>828</v>
      </c>
      <c r="C71" s="881">
        <f t="shared" si="21"/>
        <v>96</v>
      </c>
      <c r="D71" s="881">
        <v>86</v>
      </c>
      <c r="E71" s="881">
        <v>10</v>
      </c>
      <c r="F71" s="881">
        <v>0</v>
      </c>
      <c r="G71" s="881">
        <v>0</v>
      </c>
      <c r="H71" s="881">
        <f t="shared" si="18"/>
        <v>96</v>
      </c>
      <c r="I71" s="881">
        <f t="shared" si="22"/>
        <v>9</v>
      </c>
      <c r="J71" s="881">
        <v>7</v>
      </c>
      <c r="K71" s="881">
        <v>0</v>
      </c>
      <c r="L71" s="881">
        <v>2</v>
      </c>
      <c r="M71" s="881">
        <v>0</v>
      </c>
      <c r="N71" s="881">
        <v>0</v>
      </c>
      <c r="O71" s="881">
        <v>0</v>
      </c>
      <c r="P71" s="887">
        <v>0</v>
      </c>
      <c r="Q71" s="888">
        <v>87</v>
      </c>
      <c r="R71" s="866">
        <f>SUM(L71:Q71)</f>
        <v>89</v>
      </c>
      <c r="S71" s="867">
        <f>(J71+K71)/I71*100</f>
        <v>77.77777777777779</v>
      </c>
      <c r="T71" s="659">
        <f t="shared" si="4"/>
        <v>0</v>
      </c>
    </row>
    <row r="72" spans="1:20" s="780" customFormat="1" ht="23.25" customHeight="1">
      <c r="A72" s="900">
        <v>8</v>
      </c>
      <c r="B72" s="781" t="s">
        <v>715</v>
      </c>
      <c r="C72" s="901">
        <f>SUM(C73:C75)</f>
        <v>391</v>
      </c>
      <c r="D72" s="901">
        <f aca="true" t="shared" si="23" ref="D72:Q72">SUM(D73:D75)</f>
        <v>253</v>
      </c>
      <c r="E72" s="901">
        <f t="shared" si="23"/>
        <v>138</v>
      </c>
      <c r="F72" s="901">
        <f t="shared" si="23"/>
        <v>0</v>
      </c>
      <c r="G72" s="901">
        <f t="shared" si="23"/>
        <v>0</v>
      </c>
      <c r="H72" s="905">
        <f t="shared" si="18"/>
        <v>391</v>
      </c>
      <c r="I72" s="905">
        <f t="shared" si="22"/>
        <v>178</v>
      </c>
      <c r="J72" s="901">
        <f t="shared" si="23"/>
        <v>80</v>
      </c>
      <c r="K72" s="901">
        <f t="shared" si="23"/>
        <v>1</v>
      </c>
      <c r="L72" s="901">
        <f t="shared" si="23"/>
        <v>96</v>
      </c>
      <c r="M72" s="901">
        <f t="shared" si="23"/>
        <v>0</v>
      </c>
      <c r="N72" s="901">
        <f t="shared" si="23"/>
        <v>1</v>
      </c>
      <c r="O72" s="901">
        <f t="shared" si="23"/>
        <v>0</v>
      </c>
      <c r="P72" s="901">
        <f t="shared" si="23"/>
        <v>0</v>
      </c>
      <c r="Q72" s="901">
        <f t="shared" si="23"/>
        <v>213</v>
      </c>
      <c r="R72" s="902">
        <f t="shared" si="10"/>
        <v>310</v>
      </c>
      <c r="S72" s="903">
        <f t="shared" si="11"/>
        <v>45.50561797752809</v>
      </c>
      <c r="T72" s="904">
        <f t="shared" si="4"/>
        <v>0</v>
      </c>
    </row>
    <row r="73" spans="1:20" s="773" customFormat="1" ht="23.25" customHeight="1">
      <c r="A73" s="870" t="s">
        <v>716</v>
      </c>
      <c r="B73" s="762" t="s">
        <v>717</v>
      </c>
      <c r="C73" s="885">
        <f>D73+E73</f>
        <v>113</v>
      </c>
      <c r="D73" s="885">
        <v>56</v>
      </c>
      <c r="E73" s="885">
        <v>57</v>
      </c>
      <c r="F73" s="885">
        <v>0</v>
      </c>
      <c r="G73" s="885">
        <v>0</v>
      </c>
      <c r="H73" s="885">
        <f t="shared" si="18"/>
        <v>113</v>
      </c>
      <c r="I73" s="885">
        <f>J73+K73+L73+M73+N73+O73+P73</f>
        <v>67</v>
      </c>
      <c r="J73" s="885">
        <v>35</v>
      </c>
      <c r="K73" s="885">
        <v>0</v>
      </c>
      <c r="L73" s="885">
        <v>32</v>
      </c>
      <c r="M73" s="885"/>
      <c r="N73" s="885"/>
      <c r="O73" s="885"/>
      <c r="P73" s="885"/>
      <c r="Q73" s="885">
        <v>46</v>
      </c>
      <c r="R73" s="866">
        <f t="shared" si="10"/>
        <v>78</v>
      </c>
      <c r="S73" s="867">
        <f t="shared" si="11"/>
        <v>52.23880597014925</v>
      </c>
      <c r="T73" s="659">
        <f t="shared" si="4"/>
        <v>0</v>
      </c>
    </row>
    <row r="74" spans="1:20" s="773" customFormat="1" ht="23.25" customHeight="1">
      <c r="A74" s="870" t="s">
        <v>718</v>
      </c>
      <c r="B74" s="762" t="s">
        <v>719</v>
      </c>
      <c r="C74" s="885">
        <f>D74+E74</f>
        <v>109</v>
      </c>
      <c r="D74" s="885">
        <v>73</v>
      </c>
      <c r="E74" s="885">
        <v>36</v>
      </c>
      <c r="F74" s="885">
        <v>0</v>
      </c>
      <c r="G74" s="885">
        <v>0</v>
      </c>
      <c r="H74" s="885">
        <f t="shared" si="18"/>
        <v>109</v>
      </c>
      <c r="I74" s="885">
        <f>J74+K74+L74+M74+N74+O74+P74</f>
        <v>49</v>
      </c>
      <c r="J74" s="885">
        <v>19</v>
      </c>
      <c r="K74" s="885">
        <v>1</v>
      </c>
      <c r="L74" s="885">
        <v>28</v>
      </c>
      <c r="M74" s="885"/>
      <c r="N74" s="885">
        <v>1</v>
      </c>
      <c r="O74" s="885"/>
      <c r="P74" s="885"/>
      <c r="Q74" s="885">
        <v>60</v>
      </c>
      <c r="R74" s="866">
        <f t="shared" si="10"/>
        <v>89</v>
      </c>
      <c r="S74" s="867">
        <f t="shared" si="11"/>
        <v>40.816326530612244</v>
      </c>
      <c r="T74" s="659">
        <f t="shared" si="4"/>
        <v>0</v>
      </c>
    </row>
    <row r="75" spans="1:20" s="773" customFormat="1" ht="23.25" customHeight="1">
      <c r="A75" s="870" t="s">
        <v>784</v>
      </c>
      <c r="B75" s="762" t="s">
        <v>711</v>
      </c>
      <c r="C75" s="885">
        <f>D75+E75</f>
        <v>169</v>
      </c>
      <c r="D75" s="885">
        <v>124</v>
      </c>
      <c r="E75" s="885">
        <v>45</v>
      </c>
      <c r="F75" s="885">
        <v>0</v>
      </c>
      <c r="G75" s="885"/>
      <c r="H75" s="885">
        <f t="shared" si="18"/>
        <v>169</v>
      </c>
      <c r="I75" s="885">
        <f>J75+K75+L75+M75+N75+O75+P75</f>
        <v>62</v>
      </c>
      <c r="J75" s="885">
        <v>26</v>
      </c>
      <c r="K75" s="885">
        <v>0</v>
      </c>
      <c r="L75" s="885">
        <v>36</v>
      </c>
      <c r="M75" s="885"/>
      <c r="N75" s="885"/>
      <c r="O75" s="885"/>
      <c r="P75" s="885"/>
      <c r="Q75" s="885">
        <v>107</v>
      </c>
      <c r="R75" s="866">
        <f t="shared" si="10"/>
        <v>143</v>
      </c>
      <c r="S75" s="867">
        <f t="shared" si="11"/>
        <v>41.935483870967744</v>
      </c>
      <c r="T75" s="659">
        <f t="shared" si="4"/>
        <v>0</v>
      </c>
    </row>
    <row r="76" spans="1:20" s="780" customFormat="1" ht="23.25" customHeight="1">
      <c r="A76" s="900">
        <v>9</v>
      </c>
      <c r="B76" s="781" t="s">
        <v>720</v>
      </c>
      <c r="C76" s="901">
        <f>SUM(C77:C79)</f>
        <v>302</v>
      </c>
      <c r="D76" s="901">
        <f aca="true" t="shared" si="24" ref="D76:Q76">SUM(D77:D79)</f>
        <v>194</v>
      </c>
      <c r="E76" s="901">
        <f t="shared" si="24"/>
        <v>108</v>
      </c>
      <c r="F76" s="901">
        <f t="shared" si="24"/>
        <v>1</v>
      </c>
      <c r="G76" s="901">
        <f t="shared" si="24"/>
        <v>0</v>
      </c>
      <c r="H76" s="905">
        <f t="shared" si="18"/>
        <v>301</v>
      </c>
      <c r="I76" s="905">
        <f>SUM(J76:P76)</f>
        <v>173</v>
      </c>
      <c r="J76" s="901">
        <f t="shared" si="24"/>
        <v>55</v>
      </c>
      <c r="K76" s="901">
        <f t="shared" si="24"/>
        <v>6</v>
      </c>
      <c r="L76" s="901">
        <f t="shared" si="24"/>
        <v>112</v>
      </c>
      <c r="M76" s="901">
        <f t="shared" si="24"/>
        <v>0</v>
      </c>
      <c r="N76" s="901">
        <f t="shared" si="24"/>
        <v>0</v>
      </c>
      <c r="O76" s="901">
        <f t="shared" si="24"/>
        <v>0</v>
      </c>
      <c r="P76" s="901">
        <f t="shared" si="24"/>
        <v>0</v>
      </c>
      <c r="Q76" s="901">
        <f t="shared" si="24"/>
        <v>128</v>
      </c>
      <c r="R76" s="902">
        <f t="shared" si="10"/>
        <v>240</v>
      </c>
      <c r="S76" s="903">
        <f t="shared" si="11"/>
        <v>35.26011560693642</v>
      </c>
      <c r="T76" s="904">
        <f aca="true" t="shared" si="25" ref="T76:T118">C76-F76-H76</f>
        <v>0</v>
      </c>
    </row>
    <row r="77" spans="1:20" s="773" customFormat="1" ht="23.25" customHeight="1">
      <c r="A77" s="870" t="s">
        <v>721</v>
      </c>
      <c r="B77" s="764" t="s">
        <v>722</v>
      </c>
      <c r="C77" s="881">
        <f>SUM(D77:E77)</f>
        <v>84</v>
      </c>
      <c r="D77" s="881">
        <v>48</v>
      </c>
      <c r="E77" s="881">
        <f>9+8+19</f>
        <v>36</v>
      </c>
      <c r="F77" s="881">
        <f>1</f>
        <v>1</v>
      </c>
      <c r="G77" s="881">
        <v>0</v>
      </c>
      <c r="H77" s="881">
        <f>SUM(I77,Q77)</f>
        <v>83</v>
      </c>
      <c r="I77" s="881">
        <f>SUM(J77:P77)</f>
        <v>42</v>
      </c>
      <c r="J77" s="881">
        <f>5+10+11</f>
        <v>26</v>
      </c>
      <c r="K77" s="881">
        <f>3</f>
        <v>3</v>
      </c>
      <c r="L77" s="881">
        <f>C77-J77-K77-M77-N77-O77-P77-Q77-F77-G77</f>
        <v>13</v>
      </c>
      <c r="M77" s="881">
        <v>0</v>
      </c>
      <c r="N77" s="881">
        <v>0</v>
      </c>
      <c r="O77" s="881">
        <v>0</v>
      </c>
      <c r="P77" s="887">
        <v>0</v>
      </c>
      <c r="Q77" s="888">
        <f>36+4+2-1</f>
        <v>41</v>
      </c>
      <c r="R77" s="892">
        <v>18</v>
      </c>
      <c r="S77" s="867">
        <f t="shared" si="11"/>
        <v>69.04761904761905</v>
      </c>
      <c r="T77" s="659">
        <f t="shared" si="25"/>
        <v>0</v>
      </c>
    </row>
    <row r="78" spans="1:20" s="773" customFormat="1" ht="23.25" customHeight="1">
      <c r="A78" s="870" t="s">
        <v>723</v>
      </c>
      <c r="B78" s="764" t="s">
        <v>724</v>
      </c>
      <c r="C78" s="881">
        <f>SUM(D78:E78)</f>
        <v>135</v>
      </c>
      <c r="D78" s="881">
        <v>97</v>
      </c>
      <c r="E78" s="881">
        <f>9+29</f>
        <v>38</v>
      </c>
      <c r="F78" s="881">
        <v>0</v>
      </c>
      <c r="G78" s="881">
        <v>0</v>
      </c>
      <c r="H78" s="881">
        <f>SUM(I78,Q78)</f>
        <v>135</v>
      </c>
      <c r="I78" s="881">
        <f>SUM(J78:P78)</f>
        <v>90</v>
      </c>
      <c r="J78" s="881">
        <f>11</f>
        <v>11</v>
      </c>
      <c r="K78" s="881">
        <f>1</f>
        <v>1</v>
      </c>
      <c r="L78" s="881">
        <f>C78-J78-K78-M78-N78-O78-P78-Q78-F78-G78</f>
        <v>78</v>
      </c>
      <c r="M78" s="881">
        <v>0</v>
      </c>
      <c r="N78" s="881">
        <v>0</v>
      </c>
      <c r="O78" s="881">
        <v>0</v>
      </c>
      <c r="P78" s="887">
        <v>0</v>
      </c>
      <c r="Q78" s="888">
        <f>47-8-4+6+4</f>
        <v>45</v>
      </c>
      <c r="R78" s="892">
        <v>26</v>
      </c>
      <c r="S78" s="867">
        <f t="shared" si="11"/>
        <v>13.333333333333334</v>
      </c>
      <c r="T78" s="659">
        <f t="shared" si="25"/>
        <v>0</v>
      </c>
    </row>
    <row r="79" spans="1:20" s="773" customFormat="1" ht="23.25" customHeight="1">
      <c r="A79" s="870" t="s">
        <v>725</v>
      </c>
      <c r="B79" s="764" t="s">
        <v>726</v>
      </c>
      <c r="C79" s="881">
        <f>SUM(D79:E79)</f>
        <v>83</v>
      </c>
      <c r="D79" s="881">
        <v>49</v>
      </c>
      <c r="E79" s="881">
        <f>12+22</f>
        <v>34</v>
      </c>
      <c r="F79" s="881">
        <v>0</v>
      </c>
      <c r="G79" s="881">
        <v>0</v>
      </c>
      <c r="H79" s="881">
        <f>SUM(I79,Q79)</f>
        <v>83</v>
      </c>
      <c r="I79" s="881">
        <f>SUM(J79:P79)</f>
        <v>41</v>
      </c>
      <c r="J79" s="881">
        <f>2+16</f>
        <v>18</v>
      </c>
      <c r="K79" s="881">
        <f>2</f>
        <v>2</v>
      </c>
      <c r="L79" s="881">
        <f>C79-J79-K79-M79-N79-O79-P79-Q79-F79-G79</f>
        <v>21</v>
      </c>
      <c r="M79" s="881">
        <v>0</v>
      </c>
      <c r="N79" s="881">
        <v>0</v>
      </c>
      <c r="O79" s="881">
        <v>0</v>
      </c>
      <c r="P79" s="887">
        <f>0</f>
        <v>0</v>
      </c>
      <c r="Q79" s="888">
        <f>32+1+5+4</f>
        <v>42</v>
      </c>
      <c r="R79" s="892"/>
      <c r="S79" s="867">
        <f t="shared" si="11"/>
        <v>48.78048780487805</v>
      </c>
      <c r="T79" s="659">
        <f t="shared" si="25"/>
        <v>0</v>
      </c>
    </row>
    <row r="80" spans="1:20" s="780" customFormat="1" ht="23.25" customHeight="1">
      <c r="A80" s="900">
        <v>10</v>
      </c>
      <c r="B80" s="781" t="s">
        <v>727</v>
      </c>
      <c r="C80" s="901">
        <f>SUM(C81:C89)</f>
        <v>1432</v>
      </c>
      <c r="D80" s="901">
        <f aca="true" t="shared" si="26" ref="D80:Q80">SUM(D81:D89)</f>
        <v>1170</v>
      </c>
      <c r="E80" s="901">
        <f t="shared" si="26"/>
        <v>262</v>
      </c>
      <c r="F80" s="901">
        <f t="shared" si="26"/>
        <v>1</v>
      </c>
      <c r="G80" s="901">
        <f t="shared" si="26"/>
        <v>0</v>
      </c>
      <c r="H80" s="905">
        <f>I80+Q80</f>
        <v>1431</v>
      </c>
      <c r="I80" s="905">
        <f>SUM(J80:P80)</f>
        <v>597</v>
      </c>
      <c r="J80" s="901">
        <f t="shared" si="26"/>
        <v>141</v>
      </c>
      <c r="K80" s="901">
        <f t="shared" si="26"/>
        <v>10</v>
      </c>
      <c r="L80" s="901">
        <f t="shared" si="26"/>
        <v>440</v>
      </c>
      <c r="M80" s="901">
        <f t="shared" si="26"/>
        <v>4</v>
      </c>
      <c r="N80" s="901">
        <f t="shared" si="26"/>
        <v>0</v>
      </c>
      <c r="O80" s="901">
        <f t="shared" si="26"/>
        <v>0</v>
      </c>
      <c r="P80" s="901">
        <f t="shared" si="26"/>
        <v>2</v>
      </c>
      <c r="Q80" s="901">
        <f t="shared" si="26"/>
        <v>834</v>
      </c>
      <c r="R80" s="902">
        <f t="shared" si="10"/>
        <v>1280</v>
      </c>
      <c r="S80" s="903">
        <f t="shared" si="11"/>
        <v>25.29313232830821</v>
      </c>
      <c r="T80" s="904">
        <f t="shared" si="25"/>
        <v>0</v>
      </c>
    </row>
    <row r="81" spans="1:20" s="773" customFormat="1" ht="23.25" customHeight="1">
      <c r="A81" s="870" t="s">
        <v>752</v>
      </c>
      <c r="B81" s="768" t="s">
        <v>696</v>
      </c>
      <c r="C81" s="893">
        <v>95</v>
      </c>
      <c r="D81" s="893">
        <v>74</v>
      </c>
      <c r="E81" s="893">
        <v>21</v>
      </c>
      <c r="F81" s="893">
        <v>0</v>
      </c>
      <c r="G81" s="893">
        <v>0</v>
      </c>
      <c r="H81" s="893">
        <v>95</v>
      </c>
      <c r="I81" s="893">
        <v>39</v>
      </c>
      <c r="J81" s="893">
        <v>18</v>
      </c>
      <c r="K81" s="893">
        <v>0</v>
      </c>
      <c r="L81" s="893">
        <v>21</v>
      </c>
      <c r="M81" s="893">
        <v>0</v>
      </c>
      <c r="N81" s="893">
        <v>0</v>
      </c>
      <c r="O81" s="893">
        <v>0</v>
      </c>
      <c r="P81" s="893">
        <v>0</v>
      </c>
      <c r="Q81" s="893">
        <v>56</v>
      </c>
      <c r="R81" s="866">
        <f t="shared" si="10"/>
        <v>77</v>
      </c>
      <c r="S81" s="867">
        <f t="shared" si="11"/>
        <v>46.15384615384615</v>
      </c>
      <c r="T81" s="659">
        <f t="shared" si="25"/>
        <v>0</v>
      </c>
    </row>
    <row r="82" spans="1:20" s="773" customFormat="1" ht="23.25" customHeight="1">
      <c r="A82" s="870" t="s">
        <v>794</v>
      </c>
      <c r="B82" s="768" t="s">
        <v>829</v>
      </c>
      <c r="C82" s="893">
        <v>171</v>
      </c>
      <c r="D82" s="893">
        <v>139</v>
      </c>
      <c r="E82" s="893">
        <v>32</v>
      </c>
      <c r="F82" s="893">
        <v>0</v>
      </c>
      <c r="G82" s="893">
        <v>0</v>
      </c>
      <c r="H82" s="893">
        <v>171</v>
      </c>
      <c r="I82" s="893">
        <v>69</v>
      </c>
      <c r="J82" s="893">
        <v>24</v>
      </c>
      <c r="K82" s="893">
        <v>5</v>
      </c>
      <c r="L82" s="893">
        <v>39</v>
      </c>
      <c r="M82" s="893">
        <v>1</v>
      </c>
      <c r="N82" s="893">
        <v>0</v>
      </c>
      <c r="O82" s="893">
        <v>0</v>
      </c>
      <c r="P82" s="893">
        <v>0</v>
      </c>
      <c r="Q82" s="893">
        <v>102</v>
      </c>
      <c r="R82" s="866">
        <f t="shared" si="10"/>
        <v>142</v>
      </c>
      <c r="S82" s="867">
        <f t="shared" si="11"/>
        <v>42.028985507246375</v>
      </c>
      <c r="T82" s="659">
        <f t="shared" si="25"/>
        <v>0</v>
      </c>
    </row>
    <row r="83" spans="1:20" s="773" customFormat="1" ht="23.25" customHeight="1">
      <c r="A83" s="870" t="s">
        <v>753</v>
      </c>
      <c r="B83" s="768" t="s">
        <v>728</v>
      </c>
      <c r="C83" s="893">
        <v>116</v>
      </c>
      <c r="D83" s="893">
        <v>94</v>
      </c>
      <c r="E83" s="893">
        <v>22</v>
      </c>
      <c r="F83" s="893">
        <v>0</v>
      </c>
      <c r="G83" s="893">
        <v>0</v>
      </c>
      <c r="H83" s="893">
        <v>116</v>
      </c>
      <c r="I83" s="893">
        <v>54</v>
      </c>
      <c r="J83" s="893">
        <v>13</v>
      </c>
      <c r="K83" s="893">
        <v>1</v>
      </c>
      <c r="L83" s="893">
        <v>40</v>
      </c>
      <c r="M83" s="893">
        <v>0</v>
      </c>
      <c r="N83" s="893">
        <v>0</v>
      </c>
      <c r="O83" s="893">
        <v>0</v>
      </c>
      <c r="P83" s="893">
        <v>0</v>
      </c>
      <c r="Q83" s="893">
        <v>62</v>
      </c>
      <c r="R83" s="866">
        <f t="shared" si="10"/>
        <v>102</v>
      </c>
      <c r="S83" s="867">
        <f t="shared" si="11"/>
        <v>25.925925925925924</v>
      </c>
      <c r="T83" s="659">
        <f t="shared" si="25"/>
        <v>0</v>
      </c>
    </row>
    <row r="84" spans="1:20" s="773" customFormat="1" ht="23.25" customHeight="1">
      <c r="A84" s="870" t="s">
        <v>754</v>
      </c>
      <c r="B84" s="768" t="s">
        <v>796</v>
      </c>
      <c r="C84" s="893">
        <v>171</v>
      </c>
      <c r="D84" s="893">
        <v>147</v>
      </c>
      <c r="E84" s="893">
        <v>24</v>
      </c>
      <c r="F84" s="893">
        <v>0</v>
      </c>
      <c r="G84" s="893">
        <v>0</v>
      </c>
      <c r="H84" s="893">
        <v>171</v>
      </c>
      <c r="I84" s="893">
        <v>62</v>
      </c>
      <c r="J84" s="893">
        <v>12</v>
      </c>
      <c r="K84" s="893">
        <v>3</v>
      </c>
      <c r="L84" s="893">
        <v>45</v>
      </c>
      <c r="M84" s="893">
        <v>0</v>
      </c>
      <c r="N84" s="893">
        <v>0</v>
      </c>
      <c r="O84" s="893">
        <v>0</v>
      </c>
      <c r="P84" s="893">
        <v>2</v>
      </c>
      <c r="Q84" s="893">
        <v>109</v>
      </c>
      <c r="R84" s="866">
        <f t="shared" si="10"/>
        <v>156</v>
      </c>
      <c r="S84" s="867">
        <f t="shared" si="11"/>
        <v>24.193548387096776</v>
      </c>
      <c r="T84" s="659">
        <f t="shared" si="25"/>
        <v>0</v>
      </c>
    </row>
    <row r="85" spans="1:20" s="773" customFormat="1" ht="23.25" customHeight="1">
      <c r="A85" s="870" t="s">
        <v>755</v>
      </c>
      <c r="B85" s="768" t="s">
        <v>729</v>
      </c>
      <c r="C85" s="893">
        <v>174</v>
      </c>
      <c r="D85" s="893">
        <v>140</v>
      </c>
      <c r="E85" s="893">
        <v>34</v>
      </c>
      <c r="F85" s="893">
        <v>1</v>
      </c>
      <c r="G85" s="893">
        <v>0</v>
      </c>
      <c r="H85" s="893">
        <v>173</v>
      </c>
      <c r="I85" s="893">
        <v>92</v>
      </c>
      <c r="J85" s="893">
        <v>5</v>
      </c>
      <c r="K85" s="893">
        <v>0</v>
      </c>
      <c r="L85" s="893">
        <v>87</v>
      </c>
      <c r="M85" s="893">
        <v>0</v>
      </c>
      <c r="N85" s="893">
        <v>0</v>
      </c>
      <c r="O85" s="893">
        <v>0</v>
      </c>
      <c r="P85" s="893">
        <v>0</v>
      </c>
      <c r="Q85" s="893">
        <v>81</v>
      </c>
      <c r="R85" s="866">
        <f t="shared" si="10"/>
        <v>168</v>
      </c>
      <c r="S85" s="867">
        <f t="shared" si="11"/>
        <v>5.434782608695652</v>
      </c>
      <c r="T85" s="659">
        <f t="shared" si="25"/>
        <v>0</v>
      </c>
    </row>
    <row r="86" spans="1:20" s="773" customFormat="1" ht="23.25" customHeight="1">
      <c r="A86" s="870" t="s">
        <v>756</v>
      </c>
      <c r="B86" s="768" t="s">
        <v>731</v>
      </c>
      <c r="C86" s="893">
        <v>171</v>
      </c>
      <c r="D86" s="893">
        <v>133</v>
      </c>
      <c r="E86" s="893">
        <v>38</v>
      </c>
      <c r="F86" s="893">
        <v>0</v>
      </c>
      <c r="G86" s="893">
        <v>0</v>
      </c>
      <c r="H86" s="893">
        <v>171</v>
      </c>
      <c r="I86" s="893">
        <v>76</v>
      </c>
      <c r="J86" s="893">
        <v>11</v>
      </c>
      <c r="K86" s="893">
        <v>1</v>
      </c>
      <c r="L86" s="893">
        <v>64</v>
      </c>
      <c r="M86" s="893">
        <v>0</v>
      </c>
      <c r="N86" s="893">
        <v>0</v>
      </c>
      <c r="O86" s="893">
        <v>0</v>
      </c>
      <c r="P86" s="893">
        <v>0</v>
      </c>
      <c r="Q86" s="893">
        <v>95</v>
      </c>
      <c r="R86" s="866">
        <f t="shared" si="10"/>
        <v>159</v>
      </c>
      <c r="S86" s="867">
        <f t="shared" si="11"/>
        <v>15.789473684210526</v>
      </c>
      <c r="T86" s="659">
        <f t="shared" si="25"/>
        <v>0</v>
      </c>
    </row>
    <row r="87" spans="1:20" s="773" customFormat="1" ht="23.25" customHeight="1">
      <c r="A87" s="870" t="s">
        <v>730</v>
      </c>
      <c r="B87" s="769" t="s">
        <v>797</v>
      </c>
      <c r="C87" s="894">
        <v>184</v>
      </c>
      <c r="D87" s="894">
        <v>158</v>
      </c>
      <c r="E87" s="894">
        <v>26</v>
      </c>
      <c r="F87" s="894">
        <v>0</v>
      </c>
      <c r="G87" s="894">
        <v>0</v>
      </c>
      <c r="H87" s="894">
        <v>184</v>
      </c>
      <c r="I87" s="894">
        <v>90</v>
      </c>
      <c r="J87" s="894">
        <v>16</v>
      </c>
      <c r="K87" s="894">
        <v>0</v>
      </c>
      <c r="L87" s="894">
        <v>71</v>
      </c>
      <c r="M87" s="894">
        <v>3</v>
      </c>
      <c r="N87" s="894">
        <v>0</v>
      </c>
      <c r="O87" s="894">
        <v>0</v>
      </c>
      <c r="P87" s="894">
        <v>0</v>
      </c>
      <c r="Q87" s="894">
        <v>94</v>
      </c>
      <c r="R87" s="866">
        <f t="shared" si="10"/>
        <v>168</v>
      </c>
      <c r="S87" s="867">
        <f t="shared" si="11"/>
        <v>17.77777777777778</v>
      </c>
      <c r="T87" s="659">
        <f t="shared" si="25"/>
        <v>0</v>
      </c>
    </row>
    <row r="88" spans="1:20" s="773" customFormat="1" ht="23.25" customHeight="1">
      <c r="A88" s="870" t="s">
        <v>732</v>
      </c>
      <c r="B88" s="768" t="s">
        <v>798</v>
      </c>
      <c r="C88" s="893">
        <v>182</v>
      </c>
      <c r="D88" s="893">
        <v>151</v>
      </c>
      <c r="E88" s="893">
        <v>31</v>
      </c>
      <c r="F88" s="893">
        <v>0</v>
      </c>
      <c r="G88" s="893">
        <v>0</v>
      </c>
      <c r="H88" s="893">
        <v>182</v>
      </c>
      <c r="I88" s="893">
        <v>50</v>
      </c>
      <c r="J88" s="893">
        <v>21</v>
      </c>
      <c r="K88" s="893">
        <v>0</v>
      </c>
      <c r="L88" s="893">
        <v>29</v>
      </c>
      <c r="M88" s="893">
        <v>0</v>
      </c>
      <c r="N88" s="893">
        <v>0</v>
      </c>
      <c r="O88" s="893">
        <v>0</v>
      </c>
      <c r="P88" s="893">
        <v>0</v>
      </c>
      <c r="Q88" s="893">
        <v>132</v>
      </c>
      <c r="R88" s="866">
        <f t="shared" si="10"/>
        <v>161</v>
      </c>
      <c r="S88" s="867">
        <f t="shared" si="11"/>
        <v>42</v>
      </c>
      <c r="T88" s="659">
        <f t="shared" si="25"/>
        <v>0</v>
      </c>
    </row>
    <row r="89" spans="1:20" s="773" customFormat="1" ht="23.25" customHeight="1">
      <c r="A89" s="870" t="s">
        <v>733</v>
      </c>
      <c r="B89" s="768" t="s">
        <v>830</v>
      </c>
      <c r="C89" s="893">
        <v>168</v>
      </c>
      <c r="D89" s="893">
        <v>134</v>
      </c>
      <c r="E89" s="893">
        <v>34</v>
      </c>
      <c r="F89" s="893">
        <v>0</v>
      </c>
      <c r="G89" s="893">
        <v>0</v>
      </c>
      <c r="H89" s="893">
        <v>168</v>
      </c>
      <c r="I89" s="893">
        <v>65</v>
      </c>
      <c r="J89" s="893">
        <v>21</v>
      </c>
      <c r="K89" s="893">
        <v>0</v>
      </c>
      <c r="L89" s="893">
        <v>44</v>
      </c>
      <c r="M89" s="893">
        <v>0</v>
      </c>
      <c r="N89" s="893">
        <v>0</v>
      </c>
      <c r="O89" s="893">
        <v>0</v>
      </c>
      <c r="P89" s="893">
        <v>0</v>
      </c>
      <c r="Q89" s="893">
        <v>103</v>
      </c>
      <c r="R89" s="866">
        <f t="shared" si="10"/>
        <v>147</v>
      </c>
      <c r="S89" s="867">
        <f t="shared" si="11"/>
        <v>32.30769230769231</v>
      </c>
      <c r="T89" s="659">
        <f t="shared" si="25"/>
        <v>0</v>
      </c>
    </row>
    <row r="90" spans="1:20" s="780" customFormat="1" ht="23.25" customHeight="1">
      <c r="A90" s="900">
        <v>11</v>
      </c>
      <c r="B90" s="781" t="s">
        <v>734</v>
      </c>
      <c r="C90" s="901">
        <f>SUM(C91:C93)</f>
        <v>114</v>
      </c>
      <c r="D90" s="901">
        <f aca="true" t="shared" si="27" ref="D90:R90">SUM(D91:D93)</f>
        <v>60</v>
      </c>
      <c r="E90" s="901">
        <f t="shared" si="27"/>
        <v>54</v>
      </c>
      <c r="F90" s="901">
        <f t="shared" si="27"/>
        <v>2</v>
      </c>
      <c r="G90" s="901">
        <f t="shared" si="27"/>
        <v>0</v>
      </c>
      <c r="H90" s="901">
        <f t="shared" si="27"/>
        <v>112</v>
      </c>
      <c r="I90" s="901">
        <f t="shared" si="27"/>
        <v>68</v>
      </c>
      <c r="J90" s="901">
        <f t="shared" si="27"/>
        <v>45</v>
      </c>
      <c r="K90" s="901">
        <f t="shared" si="27"/>
        <v>0</v>
      </c>
      <c r="L90" s="901">
        <f t="shared" si="27"/>
        <v>20</v>
      </c>
      <c r="M90" s="901">
        <f t="shared" si="27"/>
        <v>0</v>
      </c>
      <c r="N90" s="901">
        <f t="shared" si="27"/>
        <v>0</v>
      </c>
      <c r="O90" s="901">
        <f t="shared" si="27"/>
        <v>0</v>
      </c>
      <c r="P90" s="901">
        <f t="shared" si="27"/>
        <v>3</v>
      </c>
      <c r="Q90" s="901">
        <f t="shared" si="27"/>
        <v>44</v>
      </c>
      <c r="R90" s="901">
        <f t="shared" si="27"/>
        <v>66</v>
      </c>
      <c r="S90" s="903">
        <f t="shared" si="11"/>
        <v>66.17647058823529</v>
      </c>
      <c r="T90" s="904">
        <f t="shared" si="25"/>
        <v>0</v>
      </c>
    </row>
    <row r="91" spans="1:20" s="773" customFormat="1" ht="23.25" customHeight="1">
      <c r="A91" s="870" t="s">
        <v>735</v>
      </c>
      <c r="B91" s="762" t="s">
        <v>736</v>
      </c>
      <c r="C91" s="877">
        <f>D91+E91</f>
        <v>59</v>
      </c>
      <c r="D91" s="877">
        <v>26</v>
      </c>
      <c r="E91" s="877">
        <v>33</v>
      </c>
      <c r="F91" s="877">
        <v>2</v>
      </c>
      <c r="G91" s="893"/>
      <c r="H91" s="893">
        <v>57</v>
      </c>
      <c r="I91" s="893">
        <v>39</v>
      </c>
      <c r="J91" s="877">
        <v>28</v>
      </c>
      <c r="K91" s="877"/>
      <c r="L91" s="877">
        <v>10</v>
      </c>
      <c r="M91" s="877"/>
      <c r="N91" s="877"/>
      <c r="O91" s="877"/>
      <c r="P91" s="895">
        <v>1</v>
      </c>
      <c r="Q91" s="892">
        <v>18</v>
      </c>
      <c r="R91" s="866">
        <f t="shared" si="10"/>
        <v>29</v>
      </c>
      <c r="S91" s="867">
        <f t="shared" si="11"/>
        <v>71.7948717948718</v>
      </c>
      <c r="T91" s="659">
        <f t="shared" si="25"/>
        <v>0</v>
      </c>
    </row>
    <row r="92" spans="1:20" s="773" customFormat="1" ht="23.25" customHeight="1">
      <c r="A92" s="870" t="s">
        <v>737</v>
      </c>
      <c r="B92" s="762" t="s">
        <v>738</v>
      </c>
      <c r="C92" s="877">
        <f>D92+E92</f>
        <v>54</v>
      </c>
      <c r="D92" s="877">
        <v>34</v>
      </c>
      <c r="E92" s="877">
        <v>20</v>
      </c>
      <c r="F92" s="877"/>
      <c r="G92" s="893"/>
      <c r="H92" s="893">
        <v>54</v>
      </c>
      <c r="I92" s="893">
        <v>28</v>
      </c>
      <c r="J92" s="877">
        <v>17</v>
      </c>
      <c r="K92" s="877"/>
      <c r="L92" s="877">
        <v>9</v>
      </c>
      <c r="M92" s="877"/>
      <c r="N92" s="877"/>
      <c r="O92" s="877"/>
      <c r="P92" s="895">
        <v>2</v>
      </c>
      <c r="Q92" s="892">
        <v>26</v>
      </c>
      <c r="R92" s="866">
        <f t="shared" si="10"/>
        <v>37</v>
      </c>
      <c r="S92" s="867">
        <f t="shared" si="11"/>
        <v>60.71428571428571</v>
      </c>
      <c r="T92" s="659">
        <f t="shared" si="25"/>
        <v>0</v>
      </c>
    </row>
    <row r="93" spans="1:20" s="773" customFormat="1" ht="23.25" customHeight="1">
      <c r="A93" s="870" t="s">
        <v>831</v>
      </c>
      <c r="B93" s="762" t="s">
        <v>832</v>
      </c>
      <c r="C93" s="877">
        <f>D93+E93</f>
        <v>1</v>
      </c>
      <c r="D93" s="877"/>
      <c r="E93" s="877">
        <v>1</v>
      </c>
      <c r="F93" s="877"/>
      <c r="G93" s="893"/>
      <c r="H93" s="893">
        <v>1</v>
      </c>
      <c r="I93" s="893">
        <v>1</v>
      </c>
      <c r="J93" s="877"/>
      <c r="K93" s="877"/>
      <c r="L93" s="877">
        <v>1</v>
      </c>
      <c r="M93" s="877"/>
      <c r="N93" s="877"/>
      <c r="O93" s="877"/>
      <c r="P93" s="895"/>
      <c r="Q93" s="892"/>
      <c r="R93" s="866"/>
      <c r="S93" s="867"/>
      <c r="T93" s="659">
        <f t="shared" si="25"/>
        <v>0</v>
      </c>
    </row>
    <row r="94" spans="1:20" s="780" customFormat="1" ht="23.25" customHeight="1">
      <c r="A94" s="864">
        <v>12</v>
      </c>
      <c r="B94" s="762" t="s">
        <v>739</v>
      </c>
      <c r="C94" s="865">
        <f>SUM(C95:C97)</f>
        <v>273</v>
      </c>
      <c r="D94" s="865">
        <f aca="true" t="shared" si="28" ref="D94:Q94">SUM(D95:D97)</f>
        <v>162</v>
      </c>
      <c r="E94" s="865">
        <f t="shared" si="28"/>
        <v>111</v>
      </c>
      <c r="F94" s="865">
        <f t="shared" si="28"/>
        <v>0</v>
      </c>
      <c r="G94" s="865">
        <f t="shared" si="28"/>
        <v>0</v>
      </c>
      <c r="H94" s="868">
        <f>I94+Q94</f>
        <v>273</v>
      </c>
      <c r="I94" s="868">
        <f>SUM(J94:P94)</f>
        <v>160</v>
      </c>
      <c r="J94" s="865">
        <f t="shared" si="28"/>
        <v>95</v>
      </c>
      <c r="K94" s="865">
        <f t="shared" si="28"/>
        <v>4</v>
      </c>
      <c r="L94" s="865">
        <f t="shared" si="28"/>
        <v>61</v>
      </c>
      <c r="M94" s="865">
        <f t="shared" si="28"/>
        <v>0</v>
      </c>
      <c r="N94" s="865">
        <f t="shared" si="28"/>
        <v>0</v>
      </c>
      <c r="O94" s="865">
        <f t="shared" si="28"/>
        <v>0</v>
      </c>
      <c r="P94" s="865">
        <f t="shared" si="28"/>
        <v>0</v>
      </c>
      <c r="Q94" s="865">
        <f t="shared" si="28"/>
        <v>113</v>
      </c>
      <c r="R94" s="866">
        <f t="shared" si="10"/>
        <v>174</v>
      </c>
      <c r="S94" s="867">
        <f t="shared" si="11"/>
        <v>61.875</v>
      </c>
      <c r="T94" s="659">
        <f t="shared" si="25"/>
        <v>0</v>
      </c>
    </row>
    <row r="95" spans="1:20" s="773" customFormat="1" ht="23.25" customHeight="1">
      <c r="A95" s="864">
        <v>12.1</v>
      </c>
      <c r="B95" s="762" t="s">
        <v>777</v>
      </c>
      <c r="C95" s="885">
        <f>D95+E95</f>
        <v>112</v>
      </c>
      <c r="D95" s="885">
        <v>28</v>
      </c>
      <c r="E95" s="885">
        <v>84</v>
      </c>
      <c r="F95" s="885">
        <v>0</v>
      </c>
      <c r="G95" s="885">
        <v>0</v>
      </c>
      <c r="H95" s="885">
        <f>C95-F95-G95</f>
        <v>112</v>
      </c>
      <c r="I95" s="885">
        <f>H95-Q95</f>
        <v>88</v>
      </c>
      <c r="J95" s="885">
        <v>77</v>
      </c>
      <c r="K95" s="885">
        <v>0</v>
      </c>
      <c r="L95" s="885">
        <v>11</v>
      </c>
      <c r="M95" s="885"/>
      <c r="N95" s="885"/>
      <c r="O95" s="885"/>
      <c r="P95" s="885"/>
      <c r="Q95" s="885">
        <v>24</v>
      </c>
      <c r="R95" s="866">
        <f t="shared" si="10"/>
        <v>35</v>
      </c>
      <c r="S95" s="867">
        <f t="shared" si="11"/>
        <v>87.5</v>
      </c>
      <c r="T95" s="659">
        <f t="shared" si="25"/>
        <v>0</v>
      </c>
    </row>
    <row r="96" spans="1:20" s="773" customFormat="1" ht="23.25" customHeight="1">
      <c r="A96" s="864">
        <v>12.2</v>
      </c>
      <c r="B96" s="762" t="s">
        <v>740</v>
      </c>
      <c r="C96" s="885">
        <f>D96+E96</f>
        <v>117</v>
      </c>
      <c r="D96" s="885">
        <v>97</v>
      </c>
      <c r="E96" s="885">
        <v>20</v>
      </c>
      <c r="F96" s="885">
        <v>0</v>
      </c>
      <c r="G96" s="885">
        <v>0</v>
      </c>
      <c r="H96" s="885">
        <f>C96-F96-G96</f>
        <v>117</v>
      </c>
      <c r="I96" s="885">
        <f>H96-Q96</f>
        <v>51</v>
      </c>
      <c r="J96" s="885">
        <v>15</v>
      </c>
      <c r="K96" s="885">
        <v>3</v>
      </c>
      <c r="L96" s="885">
        <v>33</v>
      </c>
      <c r="M96" s="885">
        <v>0</v>
      </c>
      <c r="N96" s="885"/>
      <c r="O96" s="885"/>
      <c r="P96" s="885"/>
      <c r="Q96" s="885">
        <v>66</v>
      </c>
      <c r="R96" s="866">
        <f t="shared" si="10"/>
        <v>99</v>
      </c>
      <c r="S96" s="867">
        <f t="shared" si="11"/>
        <v>35.294117647058826</v>
      </c>
      <c r="T96" s="659">
        <f t="shared" si="25"/>
        <v>0</v>
      </c>
    </row>
    <row r="97" spans="1:20" s="773" customFormat="1" ht="23.25" customHeight="1">
      <c r="A97" s="864">
        <v>12.3</v>
      </c>
      <c r="B97" s="762" t="s">
        <v>833</v>
      </c>
      <c r="C97" s="885">
        <f>D97+E97</f>
        <v>44</v>
      </c>
      <c r="D97" s="885">
        <v>37</v>
      </c>
      <c r="E97" s="885">
        <v>7</v>
      </c>
      <c r="F97" s="885">
        <v>0</v>
      </c>
      <c r="G97" s="885">
        <v>0</v>
      </c>
      <c r="H97" s="885">
        <f>C97-F97-G97</f>
        <v>44</v>
      </c>
      <c r="I97" s="885">
        <f>H97-Q97</f>
        <v>21</v>
      </c>
      <c r="J97" s="885">
        <v>3</v>
      </c>
      <c r="K97" s="885">
        <v>1</v>
      </c>
      <c r="L97" s="885">
        <v>17</v>
      </c>
      <c r="M97" s="885"/>
      <c r="N97" s="885"/>
      <c r="O97" s="885"/>
      <c r="P97" s="885"/>
      <c r="Q97" s="885">
        <v>23</v>
      </c>
      <c r="R97" s="866">
        <f t="shared" si="10"/>
        <v>40</v>
      </c>
      <c r="S97" s="867">
        <f t="shared" si="11"/>
        <v>19.047619047619047</v>
      </c>
      <c r="T97" s="659">
        <f t="shared" si="25"/>
        <v>0</v>
      </c>
    </row>
    <row r="98" spans="1:20" s="780" customFormat="1" ht="23.25" customHeight="1">
      <c r="A98" s="900">
        <v>13</v>
      </c>
      <c r="B98" s="781" t="s">
        <v>741</v>
      </c>
      <c r="C98" s="901">
        <f>SUM(C99:C108)</f>
        <v>2329</v>
      </c>
      <c r="D98" s="901">
        <f aca="true" t="shared" si="29" ref="D98:Q98">SUM(D99:D108)</f>
        <v>1873</v>
      </c>
      <c r="E98" s="901">
        <f t="shared" si="29"/>
        <v>456</v>
      </c>
      <c r="F98" s="901">
        <f t="shared" si="29"/>
        <v>2</v>
      </c>
      <c r="G98" s="901">
        <f t="shared" si="29"/>
        <v>0</v>
      </c>
      <c r="H98" s="905">
        <f>I98+Q98</f>
        <v>2327</v>
      </c>
      <c r="I98" s="905">
        <f>SUM(J98:P98)</f>
        <v>1062</v>
      </c>
      <c r="J98" s="901">
        <f t="shared" si="29"/>
        <v>281</v>
      </c>
      <c r="K98" s="901">
        <f t="shared" si="29"/>
        <v>8</v>
      </c>
      <c r="L98" s="901">
        <f t="shared" si="29"/>
        <v>773</v>
      </c>
      <c r="M98" s="901">
        <f t="shared" si="29"/>
        <v>0</v>
      </c>
      <c r="N98" s="901">
        <f t="shared" si="29"/>
        <v>0</v>
      </c>
      <c r="O98" s="901">
        <f t="shared" si="29"/>
        <v>0</v>
      </c>
      <c r="P98" s="901">
        <f t="shared" si="29"/>
        <v>0</v>
      </c>
      <c r="Q98" s="901">
        <f t="shared" si="29"/>
        <v>1265</v>
      </c>
      <c r="R98" s="902">
        <f t="shared" si="10"/>
        <v>2038</v>
      </c>
      <c r="S98" s="903">
        <f t="shared" si="11"/>
        <v>27.21280602636535</v>
      </c>
      <c r="T98" s="904">
        <f t="shared" si="25"/>
        <v>0</v>
      </c>
    </row>
    <row r="99" spans="1:20" s="773" customFormat="1" ht="23.25" customHeight="1">
      <c r="A99" s="864">
        <v>13.1</v>
      </c>
      <c r="B99" s="770" t="s">
        <v>834</v>
      </c>
      <c r="C99" s="882">
        <f>D99+E99</f>
        <v>285</v>
      </c>
      <c r="D99" s="882">
        <v>146</v>
      </c>
      <c r="E99" s="882">
        <v>139</v>
      </c>
      <c r="F99" s="882">
        <v>0</v>
      </c>
      <c r="G99" s="882">
        <v>0</v>
      </c>
      <c r="H99" s="882">
        <f>I99+Q99</f>
        <v>285</v>
      </c>
      <c r="I99" s="882">
        <f>J99+K99+L99+M99+N99+O99+P99</f>
        <v>191</v>
      </c>
      <c r="J99" s="882">
        <v>87</v>
      </c>
      <c r="K99" s="882">
        <v>0</v>
      </c>
      <c r="L99" s="882">
        <v>104</v>
      </c>
      <c r="M99" s="882">
        <v>0</v>
      </c>
      <c r="N99" s="882">
        <v>0</v>
      </c>
      <c r="O99" s="882">
        <v>0</v>
      </c>
      <c r="P99" s="882">
        <v>0</v>
      </c>
      <c r="Q99" s="884">
        <v>94</v>
      </c>
      <c r="R99" s="866">
        <f t="shared" si="10"/>
        <v>198</v>
      </c>
      <c r="S99" s="867">
        <f t="shared" si="11"/>
        <v>45.54973821989529</v>
      </c>
      <c r="T99" s="659">
        <f t="shared" si="25"/>
        <v>0</v>
      </c>
    </row>
    <row r="100" spans="1:20" s="773" customFormat="1" ht="23.25" customHeight="1">
      <c r="A100" s="864">
        <v>13.2</v>
      </c>
      <c r="B100" s="770" t="s">
        <v>742</v>
      </c>
      <c r="C100" s="882">
        <f aca="true" t="shared" si="30" ref="C100:C108">D100+E100</f>
        <v>218</v>
      </c>
      <c r="D100" s="882">
        <v>181</v>
      </c>
      <c r="E100" s="882">
        <v>37</v>
      </c>
      <c r="F100" s="882">
        <v>2</v>
      </c>
      <c r="G100" s="882">
        <v>0</v>
      </c>
      <c r="H100" s="882">
        <f aca="true" t="shared" si="31" ref="H100:H108">I100+Q100</f>
        <v>216</v>
      </c>
      <c r="I100" s="882">
        <f>J100+K100+L100+M100+N100+O100+P100</f>
        <v>75</v>
      </c>
      <c r="J100" s="882">
        <v>12</v>
      </c>
      <c r="K100" s="882">
        <v>0</v>
      </c>
      <c r="L100" s="882">
        <v>63</v>
      </c>
      <c r="M100" s="882">
        <v>0</v>
      </c>
      <c r="N100" s="882">
        <v>0</v>
      </c>
      <c r="O100" s="882">
        <v>0</v>
      </c>
      <c r="P100" s="882">
        <v>0</v>
      </c>
      <c r="Q100" s="884">
        <v>141</v>
      </c>
      <c r="R100" s="866">
        <f t="shared" si="10"/>
        <v>204</v>
      </c>
      <c r="S100" s="867">
        <f t="shared" si="11"/>
        <v>16</v>
      </c>
      <c r="T100" s="659">
        <f t="shared" si="25"/>
        <v>0</v>
      </c>
    </row>
    <row r="101" spans="1:20" s="773" customFormat="1" ht="23.25" customHeight="1">
      <c r="A101" s="864">
        <v>13.3</v>
      </c>
      <c r="B101" s="770" t="s">
        <v>785</v>
      </c>
      <c r="C101" s="882">
        <f t="shared" si="30"/>
        <v>350</v>
      </c>
      <c r="D101" s="882">
        <v>289</v>
      </c>
      <c r="E101" s="882">
        <v>61</v>
      </c>
      <c r="F101" s="882">
        <v>0</v>
      </c>
      <c r="G101" s="882">
        <v>0</v>
      </c>
      <c r="H101" s="882">
        <f t="shared" si="31"/>
        <v>350</v>
      </c>
      <c r="I101" s="882">
        <f aca="true" t="shared" si="32" ref="I101:I108">J101+K101+L101+M101+N101+O101+P101</f>
        <v>140</v>
      </c>
      <c r="J101" s="882">
        <v>39</v>
      </c>
      <c r="K101" s="882">
        <v>0</v>
      </c>
      <c r="L101" s="882">
        <v>101</v>
      </c>
      <c r="M101" s="882">
        <v>0</v>
      </c>
      <c r="N101" s="882">
        <v>0</v>
      </c>
      <c r="O101" s="882">
        <v>0</v>
      </c>
      <c r="P101" s="882">
        <v>0</v>
      </c>
      <c r="Q101" s="884">
        <v>210</v>
      </c>
      <c r="R101" s="866">
        <f aca="true" t="shared" si="33" ref="R101:R118">SUM(L101:Q101)</f>
        <v>311</v>
      </c>
      <c r="S101" s="867">
        <f aca="true" t="shared" si="34" ref="S101:S118">(J101+K101)/I101*100</f>
        <v>27.857142857142858</v>
      </c>
      <c r="T101" s="659">
        <f t="shared" si="25"/>
        <v>0</v>
      </c>
    </row>
    <row r="102" spans="1:20" s="773" customFormat="1" ht="23.25" customHeight="1">
      <c r="A102" s="864">
        <v>13.4</v>
      </c>
      <c r="B102" s="771" t="s">
        <v>786</v>
      </c>
      <c r="C102" s="882">
        <f t="shared" si="30"/>
        <v>295</v>
      </c>
      <c r="D102" s="882">
        <v>250</v>
      </c>
      <c r="E102" s="882">
        <v>45</v>
      </c>
      <c r="F102" s="882">
        <v>0</v>
      </c>
      <c r="G102" s="882">
        <v>0</v>
      </c>
      <c r="H102" s="882">
        <f>I102+Q102</f>
        <v>295</v>
      </c>
      <c r="I102" s="882">
        <f t="shared" si="32"/>
        <v>108</v>
      </c>
      <c r="J102" s="882">
        <v>16</v>
      </c>
      <c r="K102" s="882">
        <v>2</v>
      </c>
      <c r="L102" s="882">
        <v>90</v>
      </c>
      <c r="M102" s="882">
        <v>0</v>
      </c>
      <c r="N102" s="882">
        <v>0</v>
      </c>
      <c r="O102" s="882">
        <v>0</v>
      </c>
      <c r="P102" s="882">
        <v>0</v>
      </c>
      <c r="Q102" s="884">
        <v>187</v>
      </c>
      <c r="R102" s="866">
        <f t="shared" si="33"/>
        <v>277</v>
      </c>
      <c r="S102" s="867">
        <f t="shared" si="34"/>
        <v>16.666666666666664</v>
      </c>
      <c r="T102" s="659">
        <f t="shared" si="25"/>
        <v>0</v>
      </c>
    </row>
    <row r="103" spans="1:20" s="773" customFormat="1" ht="23.25" customHeight="1">
      <c r="A103" s="864">
        <v>13.5</v>
      </c>
      <c r="B103" s="772" t="s">
        <v>835</v>
      </c>
      <c r="C103" s="882">
        <f>D103+E103</f>
        <v>150</v>
      </c>
      <c r="D103" s="882">
        <v>123</v>
      </c>
      <c r="E103" s="882">
        <v>27</v>
      </c>
      <c r="F103" s="882">
        <v>0</v>
      </c>
      <c r="G103" s="882">
        <v>0</v>
      </c>
      <c r="H103" s="882">
        <f t="shared" si="31"/>
        <v>150</v>
      </c>
      <c r="I103" s="882">
        <f t="shared" si="32"/>
        <v>71</v>
      </c>
      <c r="J103" s="882">
        <v>20</v>
      </c>
      <c r="K103" s="882">
        <v>0</v>
      </c>
      <c r="L103" s="882">
        <v>51</v>
      </c>
      <c r="M103" s="882">
        <v>0</v>
      </c>
      <c r="N103" s="882">
        <v>0</v>
      </c>
      <c r="O103" s="882">
        <v>0</v>
      </c>
      <c r="P103" s="882">
        <v>0</v>
      </c>
      <c r="Q103" s="884">
        <v>79</v>
      </c>
      <c r="R103" s="866">
        <f t="shared" si="33"/>
        <v>130</v>
      </c>
      <c r="S103" s="867">
        <f t="shared" si="34"/>
        <v>28.169014084507044</v>
      </c>
      <c r="T103" s="659">
        <f t="shared" si="25"/>
        <v>0</v>
      </c>
    </row>
    <row r="104" spans="1:20" s="773" customFormat="1" ht="23.25" customHeight="1">
      <c r="A104" s="864">
        <v>13.6</v>
      </c>
      <c r="B104" s="772" t="s">
        <v>787</v>
      </c>
      <c r="C104" s="882">
        <f t="shared" si="30"/>
        <v>247</v>
      </c>
      <c r="D104" s="882">
        <v>217</v>
      </c>
      <c r="E104" s="882">
        <v>30</v>
      </c>
      <c r="F104" s="882">
        <v>0</v>
      </c>
      <c r="G104" s="882">
        <v>0</v>
      </c>
      <c r="H104" s="882">
        <f t="shared" si="31"/>
        <v>247</v>
      </c>
      <c r="I104" s="882">
        <f t="shared" si="32"/>
        <v>108</v>
      </c>
      <c r="J104" s="882">
        <v>25</v>
      </c>
      <c r="K104" s="882">
        <v>6</v>
      </c>
      <c r="L104" s="882">
        <v>77</v>
      </c>
      <c r="M104" s="882">
        <v>0</v>
      </c>
      <c r="N104" s="882">
        <v>0</v>
      </c>
      <c r="O104" s="882">
        <v>0</v>
      </c>
      <c r="P104" s="882">
        <v>0</v>
      </c>
      <c r="Q104" s="884">
        <v>139</v>
      </c>
      <c r="R104" s="866">
        <f t="shared" si="33"/>
        <v>216</v>
      </c>
      <c r="S104" s="867">
        <f t="shared" si="34"/>
        <v>28.703703703703702</v>
      </c>
      <c r="T104" s="659">
        <f t="shared" si="25"/>
        <v>0</v>
      </c>
    </row>
    <row r="105" spans="1:20" s="773" customFormat="1" ht="23.25" customHeight="1">
      <c r="A105" s="864">
        <v>13.7</v>
      </c>
      <c r="B105" s="772" t="s">
        <v>836</v>
      </c>
      <c r="C105" s="882">
        <f t="shared" si="30"/>
        <v>226</v>
      </c>
      <c r="D105" s="882">
        <v>187</v>
      </c>
      <c r="E105" s="882">
        <v>39</v>
      </c>
      <c r="F105" s="882">
        <v>0</v>
      </c>
      <c r="G105" s="882">
        <v>0</v>
      </c>
      <c r="H105" s="882">
        <f t="shared" si="31"/>
        <v>226</v>
      </c>
      <c r="I105" s="882">
        <f>J105+K105+L105+M105+N105+O105+P105</f>
        <v>93</v>
      </c>
      <c r="J105" s="882">
        <v>30</v>
      </c>
      <c r="K105" s="882">
        <v>0</v>
      </c>
      <c r="L105" s="882">
        <v>63</v>
      </c>
      <c r="M105" s="882">
        <v>0</v>
      </c>
      <c r="N105" s="882">
        <v>0</v>
      </c>
      <c r="O105" s="882">
        <v>0</v>
      </c>
      <c r="P105" s="882">
        <v>0</v>
      </c>
      <c r="Q105" s="884">
        <v>133</v>
      </c>
      <c r="R105" s="866">
        <f t="shared" si="33"/>
        <v>196</v>
      </c>
      <c r="S105" s="867">
        <f t="shared" si="34"/>
        <v>32.25806451612903</v>
      </c>
      <c r="T105" s="659">
        <f t="shared" si="25"/>
        <v>0</v>
      </c>
    </row>
    <row r="106" spans="1:20" s="773" customFormat="1" ht="23.25" customHeight="1">
      <c r="A106" s="864">
        <v>13.8</v>
      </c>
      <c r="B106" s="770" t="s">
        <v>837</v>
      </c>
      <c r="C106" s="882">
        <f t="shared" si="30"/>
        <v>179</v>
      </c>
      <c r="D106" s="882">
        <v>152</v>
      </c>
      <c r="E106" s="882">
        <v>27</v>
      </c>
      <c r="F106" s="882">
        <v>0</v>
      </c>
      <c r="G106" s="882">
        <v>0</v>
      </c>
      <c r="H106" s="882">
        <f t="shared" si="31"/>
        <v>179</v>
      </c>
      <c r="I106" s="882">
        <f t="shared" si="32"/>
        <v>68</v>
      </c>
      <c r="J106" s="882">
        <v>15</v>
      </c>
      <c r="K106" s="882">
        <v>0</v>
      </c>
      <c r="L106" s="882">
        <v>53</v>
      </c>
      <c r="M106" s="882">
        <v>0</v>
      </c>
      <c r="N106" s="882">
        <v>0</v>
      </c>
      <c r="O106" s="882">
        <v>0</v>
      </c>
      <c r="P106" s="882">
        <v>0</v>
      </c>
      <c r="Q106" s="884">
        <v>111</v>
      </c>
      <c r="R106" s="866">
        <f t="shared" si="33"/>
        <v>164</v>
      </c>
      <c r="S106" s="867">
        <f t="shared" si="34"/>
        <v>22.058823529411764</v>
      </c>
      <c r="T106" s="659">
        <f t="shared" si="25"/>
        <v>0</v>
      </c>
    </row>
    <row r="107" spans="1:20" s="773" customFormat="1" ht="23.25" customHeight="1">
      <c r="A107" s="864">
        <v>13.9</v>
      </c>
      <c r="B107" s="770" t="s">
        <v>788</v>
      </c>
      <c r="C107" s="882">
        <f t="shared" si="30"/>
        <v>243</v>
      </c>
      <c r="D107" s="882">
        <v>224</v>
      </c>
      <c r="E107" s="882">
        <v>19</v>
      </c>
      <c r="F107" s="882">
        <v>0</v>
      </c>
      <c r="G107" s="882">
        <v>0</v>
      </c>
      <c r="H107" s="882">
        <f t="shared" si="31"/>
        <v>243</v>
      </c>
      <c r="I107" s="882">
        <f t="shared" si="32"/>
        <v>141</v>
      </c>
      <c r="J107" s="882">
        <v>16</v>
      </c>
      <c r="K107" s="882">
        <v>0</v>
      </c>
      <c r="L107" s="882">
        <v>125</v>
      </c>
      <c r="M107" s="882">
        <v>0</v>
      </c>
      <c r="N107" s="882">
        <v>0</v>
      </c>
      <c r="O107" s="882">
        <v>0</v>
      </c>
      <c r="P107" s="882">
        <v>0</v>
      </c>
      <c r="Q107" s="884">
        <v>102</v>
      </c>
      <c r="R107" s="866">
        <f t="shared" si="33"/>
        <v>227</v>
      </c>
      <c r="S107" s="867">
        <f t="shared" si="34"/>
        <v>11.347517730496454</v>
      </c>
      <c r="T107" s="659">
        <f t="shared" si="25"/>
        <v>0</v>
      </c>
    </row>
    <row r="108" spans="1:20" s="773" customFormat="1" ht="23.25" customHeight="1">
      <c r="A108" s="864" t="s">
        <v>789</v>
      </c>
      <c r="B108" s="770" t="s">
        <v>687</v>
      </c>
      <c r="C108" s="882">
        <f t="shared" si="30"/>
        <v>136</v>
      </c>
      <c r="D108" s="882">
        <v>104</v>
      </c>
      <c r="E108" s="882">
        <v>32</v>
      </c>
      <c r="F108" s="882"/>
      <c r="G108" s="882">
        <v>0</v>
      </c>
      <c r="H108" s="882">
        <f t="shared" si="31"/>
        <v>136</v>
      </c>
      <c r="I108" s="882">
        <f t="shared" si="32"/>
        <v>67</v>
      </c>
      <c r="J108" s="882">
        <v>21</v>
      </c>
      <c r="K108" s="882">
        <v>0</v>
      </c>
      <c r="L108" s="882">
        <v>46</v>
      </c>
      <c r="M108" s="882">
        <v>0</v>
      </c>
      <c r="N108" s="882">
        <v>0</v>
      </c>
      <c r="O108" s="882">
        <v>0</v>
      </c>
      <c r="P108" s="882">
        <v>0</v>
      </c>
      <c r="Q108" s="884">
        <v>69</v>
      </c>
      <c r="R108" s="866">
        <f t="shared" si="33"/>
        <v>115</v>
      </c>
      <c r="S108" s="867">
        <f t="shared" si="34"/>
        <v>31.343283582089555</v>
      </c>
      <c r="T108" s="659">
        <f t="shared" si="25"/>
        <v>0</v>
      </c>
    </row>
    <row r="109" spans="1:20" s="780" customFormat="1" ht="27" customHeight="1">
      <c r="A109" s="900">
        <v>14</v>
      </c>
      <c r="B109" s="781" t="s">
        <v>743</v>
      </c>
      <c r="C109" s="901">
        <f>C110+C111+C112+C113</f>
        <v>390</v>
      </c>
      <c r="D109" s="901">
        <f aca="true" t="shared" si="35" ref="D109:Q109">D110+D111+D112+D113</f>
        <v>247</v>
      </c>
      <c r="E109" s="901">
        <f t="shared" si="35"/>
        <v>143</v>
      </c>
      <c r="F109" s="901">
        <f t="shared" si="35"/>
        <v>2</v>
      </c>
      <c r="G109" s="901">
        <f t="shared" si="35"/>
        <v>0</v>
      </c>
      <c r="H109" s="901">
        <f t="shared" si="35"/>
        <v>388</v>
      </c>
      <c r="I109" s="901">
        <f t="shared" si="35"/>
        <v>268</v>
      </c>
      <c r="J109" s="901">
        <f t="shared" si="35"/>
        <v>89</v>
      </c>
      <c r="K109" s="901">
        <f t="shared" si="35"/>
        <v>2</v>
      </c>
      <c r="L109" s="901">
        <f t="shared" si="35"/>
        <v>177</v>
      </c>
      <c r="M109" s="901">
        <f t="shared" si="35"/>
        <v>0</v>
      </c>
      <c r="N109" s="901">
        <f t="shared" si="35"/>
        <v>0</v>
      </c>
      <c r="O109" s="901">
        <f t="shared" si="35"/>
        <v>0</v>
      </c>
      <c r="P109" s="901">
        <f t="shared" si="35"/>
        <v>0</v>
      </c>
      <c r="Q109" s="901">
        <f t="shared" si="35"/>
        <v>120</v>
      </c>
      <c r="R109" s="902">
        <f t="shared" si="33"/>
        <v>297</v>
      </c>
      <c r="S109" s="903">
        <f t="shared" si="34"/>
        <v>33.95522388059701</v>
      </c>
      <c r="T109" s="904">
        <f t="shared" si="25"/>
        <v>0</v>
      </c>
    </row>
    <row r="110" spans="1:20" s="773" customFormat="1" ht="27" customHeight="1">
      <c r="A110" s="870" t="s">
        <v>744</v>
      </c>
      <c r="B110" s="762" t="s">
        <v>745</v>
      </c>
      <c r="C110" s="882">
        <f>D110+E110</f>
        <v>92</v>
      </c>
      <c r="D110" s="896" t="s">
        <v>838</v>
      </c>
      <c r="E110" s="896" t="s">
        <v>839</v>
      </c>
      <c r="F110" s="896" t="s">
        <v>53</v>
      </c>
      <c r="G110" s="896" t="s">
        <v>659</v>
      </c>
      <c r="H110" s="882">
        <v>90</v>
      </c>
      <c r="I110" s="897">
        <f>P110+O110+N110+M110+L110+K110+J110</f>
        <v>53</v>
      </c>
      <c r="J110" s="896" t="s">
        <v>105</v>
      </c>
      <c r="K110" s="896" t="s">
        <v>659</v>
      </c>
      <c r="L110" s="896" t="s">
        <v>840</v>
      </c>
      <c r="M110" s="896" t="s">
        <v>659</v>
      </c>
      <c r="N110" s="896" t="s">
        <v>659</v>
      </c>
      <c r="O110" s="898" t="s">
        <v>659</v>
      </c>
      <c r="P110" s="899" t="s">
        <v>659</v>
      </c>
      <c r="Q110" s="884">
        <v>37</v>
      </c>
      <c r="R110" s="866">
        <f t="shared" si="33"/>
        <v>37</v>
      </c>
      <c r="S110" s="867">
        <f t="shared" si="34"/>
        <v>26.41509433962264</v>
      </c>
      <c r="T110" s="659">
        <f t="shared" si="25"/>
        <v>0</v>
      </c>
    </row>
    <row r="111" spans="1:20" s="773" customFormat="1" ht="27" customHeight="1">
      <c r="A111" s="870" t="s">
        <v>746</v>
      </c>
      <c r="B111" s="762" t="s">
        <v>747</v>
      </c>
      <c r="C111" s="882">
        <f>D111+E111</f>
        <v>150</v>
      </c>
      <c r="D111" s="896" t="s">
        <v>841</v>
      </c>
      <c r="E111" s="896" t="s">
        <v>842</v>
      </c>
      <c r="F111" s="896" t="s">
        <v>659</v>
      </c>
      <c r="G111" s="896" t="s">
        <v>659</v>
      </c>
      <c r="H111" s="897">
        <f aca="true" t="shared" si="36" ref="H111:H118">I111+Q111</f>
        <v>150</v>
      </c>
      <c r="I111" s="897">
        <f>P111+O111+N111+M111+L111+K111+J111</f>
        <v>120</v>
      </c>
      <c r="J111" s="896" t="s">
        <v>843</v>
      </c>
      <c r="K111" s="896" t="s">
        <v>53</v>
      </c>
      <c r="L111" s="896" t="s">
        <v>844</v>
      </c>
      <c r="M111" s="896" t="s">
        <v>659</v>
      </c>
      <c r="N111" s="896" t="s">
        <v>659</v>
      </c>
      <c r="O111" s="898" t="s">
        <v>659</v>
      </c>
      <c r="P111" s="899" t="s">
        <v>659</v>
      </c>
      <c r="Q111" s="884">
        <v>30</v>
      </c>
      <c r="R111" s="866">
        <f>SUM(L111:Q111)</f>
        <v>30</v>
      </c>
      <c r="S111" s="867">
        <f>(J111+K111)/I111*100</f>
        <v>41.66666666666667</v>
      </c>
      <c r="T111" s="659">
        <f t="shared" si="25"/>
        <v>0</v>
      </c>
    </row>
    <row r="112" spans="1:20" s="773" customFormat="1" ht="27" customHeight="1">
      <c r="A112" s="870" t="s">
        <v>845</v>
      </c>
      <c r="B112" s="762" t="s">
        <v>846</v>
      </c>
      <c r="C112" s="882">
        <f>D112+E112</f>
        <v>50</v>
      </c>
      <c r="D112" s="896" t="s">
        <v>847</v>
      </c>
      <c r="E112" s="896" t="s">
        <v>101</v>
      </c>
      <c r="F112" s="896" t="s">
        <v>659</v>
      </c>
      <c r="G112" s="896" t="s">
        <v>659</v>
      </c>
      <c r="H112" s="897">
        <f t="shared" si="36"/>
        <v>50</v>
      </c>
      <c r="I112" s="897">
        <f>P112+O112+N112+M112+L112+K112+J112</f>
        <v>21</v>
      </c>
      <c r="J112" s="896" t="s">
        <v>52</v>
      </c>
      <c r="K112" s="896" t="s">
        <v>659</v>
      </c>
      <c r="L112" s="896" t="s">
        <v>848</v>
      </c>
      <c r="M112" s="896" t="s">
        <v>659</v>
      </c>
      <c r="N112" s="896" t="s">
        <v>659</v>
      </c>
      <c r="O112" s="898" t="s">
        <v>659</v>
      </c>
      <c r="P112" s="899" t="s">
        <v>659</v>
      </c>
      <c r="Q112" s="884">
        <v>29</v>
      </c>
      <c r="R112" s="866">
        <f>SUM(L112:Q112)</f>
        <v>29</v>
      </c>
      <c r="S112" s="867">
        <f>(J112+K112)/I112*100</f>
        <v>4.761904761904762</v>
      </c>
      <c r="T112" s="659">
        <f t="shared" si="25"/>
        <v>0</v>
      </c>
    </row>
    <row r="113" spans="1:20" s="773" customFormat="1" ht="27" customHeight="1">
      <c r="A113" s="870" t="s">
        <v>849</v>
      </c>
      <c r="B113" s="762" t="s">
        <v>850</v>
      </c>
      <c r="C113" s="882">
        <f>D113+E113</f>
        <v>98</v>
      </c>
      <c r="D113" s="896" t="s">
        <v>851</v>
      </c>
      <c r="E113" s="896" t="s">
        <v>852</v>
      </c>
      <c r="F113" s="896" t="s">
        <v>659</v>
      </c>
      <c r="G113" s="896" t="s">
        <v>659</v>
      </c>
      <c r="H113" s="897">
        <f t="shared" si="36"/>
        <v>98</v>
      </c>
      <c r="I113" s="897">
        <f>P113+O113+N113+M113+L113+K113+J113</f>
        <v>74</v>
      </c>
      <c r="J113" s="896" t="s">
        <v>853</v>
      </c>
      <c r="K113" s="896" t="s">
        <v>659</v>
      </c>
      <c r="L113" s="896" t="s">
        <v>843</v>
      </c>
      <c r="M113" s="896" t="s">
        <v>659</v>
      </c>
      <c r="N113" s="896" t="s">
        <v>659</v>
      </c>
      <c r="O113" s="898" t="s">
        <v>659</v>
      </c>
      <c r="P113" s="899" t="s">
        <v>659</v>
      </c>
      <c r="Q113" s="884">
        <v>24</v>
      </c>
      <c r="R113" s="866">
        <f>SUM(L113:Q113)</f>
        <v>24</v>
      </c>
      <c r="S113" s="867">
        <f>(J113+K113)/I113*100</f>
        <v>35.13513513513514</v>
      </c>
      <c r="T113" s="659">
        <f t="shared" si="25"/>
        <v>0</v>
      </c>
    </row>
    <row r="114" spans="1:20" s="782" customFormat="1" ht="27" customHeight="1">
      <c r="A114" s="900">
        <v>15</v>
      </c>
      <c r="B114" s="781" t="s">
        <v>748</v>
      </c>
      <c r="C114" s="901">
        <f>SUM(C115:C118)</f>
        <v>236</v>
      </c>
      <c r="D114" s="901">
        <f aca="true" t="shared" si="37" ref="D114:Q114">SUM(D115:D118)</f>
        <v>168</v>
      </c>
      <c r="E114" s="901">
        <f t="shared" si="37"/>
        <v>68</v>
      </c>
      <c r="F114" s="901">
        <f t="shared" si="37"/>
        <v>1</v>
      </c>
      <c r="G114" s="901">
        <f t="shared" si="37"/>
        <v>0</v>
      </c>
      <c r="H114" s="905">
        <f t="shared" si="36"/>
        <v>235</v>
      </c>
      <c r="I114" s="905">
        <f>SUM(J114:P114)</f>
        <v>118</v>
      </c>
      <c r="J114" s="901">
        <f t="shared" si="37"/>
        <v>45</v>
      </c>
      <c r="K114" s="901">
        <f t="shared" si="37"/>
        <v>1</v>
      </c>
      <c r="L114" s="901">
        <f t="shared" si="37"/>
        <v>72</v>
      </c>
      <c r="M114" s="901">
        <f t="shared" si="37"/>
        <v>0</v>
      </c>
      <c r="N114" s="901">
        <f t="shared" si="37"/>
        <v>0</v>
      </c>
      <c r="O114" s="901">
        <f t="shared" si="37"/>
        <v>0</v>
      </c>
      <c r="P114" s="901">
        <f t="shared" si="37"/>
        <v>0</v>
      </c>
      <c r="Q114" s="901">
        <f t="shared" si="37"/>
        <v>117</v>
      </c>
      <c r="R114" s="902">
        <f t="shared" si="33"/>
        <v>189</v>
      </c>
      <c r="S114" s="903">
        <f t="shared" si="34"/>
        <v>38.983050847457626</v>
      </c>
      <c r="T114" s="904">
        <f t="shared" si="25"/>
        <v>0</v>
      </c>
    </row>
    <row r="115" spans="1:20" s="773" customFormat="1" ht="27" customHeight="1">
      <c r="A115" s="864">
        <v>15.1</v>
      </c>
      <c r="B115" s="766" t="s">
        <v>749</v>
      </c>
      <c r="C115" s="871">
        <f>D115+E115</f>
        <v>39</v>
      </c>
      <c r="D115" s="871">
        <v>20</v>
      </c>
      <c r="E115" s="871">
        <v>19</v>
      </c>
      <c r="F115" s="871">
        <v>1</v>
      </c>
      <c r="G115" s="871">
        <v>0</v>
      </c>
      <c r="H115" s="871">
        <f t="shared" si="36"/>
        <v>38</v>
      </c>
      <c r="I115" s="871">
        <f>J115+K115+L115+M115+N115+O115+P115</f>
        <v>28</v>
      </c>
      <c r="J115" s="871">
        <v>14</v>
      </c>
      <c r="K115" s="871">
        <v>0</v>
      </c>
      <c r="L115" s="871">
        <f>C115-F115-J115-K115-M115-N115-O115-P115-Q115</f>
        <v>14</v>
      </c>
      <c r="M115" s="871">
        <v>0</v>
      </c>
      <c r="N115" s="871">
        <v>0</v>
      </c>
      <c r="O115" s="871">
        <v>0</v>
      </c>
      <c r="P115" s="871">
        <v>0</v>
      </c>
      <c r="Q115" s="876">
        <v>10</v>
      </c>
      <c r="R115" s="866">
        <f t="shared" si="33"/>
        <v>24</v>
      </c>
      <c r="S115" s="867">
        <f t="shared" si="34"/>
        <v>50</v>
      </c>
      <c r="T115" s="659">
        <f t="shared" si="25"/>
        <v>0</v>
      </c>
    </row>
    <row r="116" spans="1:20" s="773" customFormat="1" ht="27" customHeight="1">
      <c r="A116" s="864">
        <v>15.2</v>
      </c>
      <c r="B116" s="766" t="s">
        <v>790</v>
      </c>
      <c r="C116" s="871">
        <f>D116+E116</f>
        <v>81</v>
      </c>
      <c r="D116" s="871">
        <v>61</v>
      </c>
      <c r="E116" s="871">
        <v>20</v>
      </c>
      <c r="F116" s="871">
        <v>0</v>
      </c>
      <c r="G116" s="871">
        <v>0</v>
      </c>
      <c r="H116" s="871">
        <f t="shared" si="36"/>
        <v>81</v>
      </c>
      <c r="I116" s="871">
        <f>J116+K116+L116+M116+N116+O116+P116</f>
        <v>38</v>
      </c>
      <c r="J116" s="871">
        <v>12</v>
      </c>
      <c r="K116" s="871">
        <v>0</v>
      </c>
      <c r="L116" s="871">
        <f>C116-F116-J116-K116-M116-N116-O116-P116-Q116</f>
        <v>26</v>
      </c>
      <c r="M116" s="871">
        <v>0</v>
      </c>
      <c r="N116" s="871">
        <v>0</v>
      </c>
      <c r="O116" s="871" t="s">
        <v>659</v>
      </c>
      <c r="P116" s="871" t="s">
        <v>659</v>
      </c>
      <c r="Q116" s="876">
        <v>43</v>
      </c>
      <c r="R116" s="866">
        <f t="shared" si="33"/>
        <v>69</v>
      </c>
      <c r="S116" s="867">
        <f t="shared" si="34"/>
        <v>31.57894736842105</v>
      </c>
      <c r="T116" s="659">
        <f t="shared" si="25"/>
        <v>0</v>
      </c>
    </row>
    <row r="117" spans="1:20" s="773" customFormat="1" ht="27" customHeight="1">
      <c r="A117" s="864">
        <v>15.3</v>
      </c>
      <c r="B117" s="766" t="s">
        <v>792</v>
      </c>
      <c r="C117" s="871">
        <f>D117+E117</f>
        <v>61</v>
      </c>
      <c r="D117" s="871">
        <v>41</v>
      </c>
      <c r="E117" s="871">
        <v>20</v>
      </c>
      <c r="F117" s="871">
        <v>0</v>
      </c>
      <c r="G117" s="871">
        <v>0</v>
      </c>
      <c r="H117" s="871">
        <f t="shared" si="36"/>
        <v>61</v>
      </c>
      <c r="I117" s="871">
        <f>J117+K117+L117+M117+N117+O117+P117</f>
        <v>27</v>
      </c>
      <c r="J117" s="871">
        <v>13</v>
      </c>
      <c r="K117" s="871">
        <v>1</v>
      </c>
      <c r="L117" s="871">
        <f>C117-F117-J117-K117-M117-N117-O117-P117-Q117</f>
        <v>13</v>
      </c>
      <c r="M117" s="871">
        <v>0</v>
      </c>
      <c r="N117" s="871">
        <v>0</v>
      </c>
      <c r="O117" s="871">
        <v>0</v>
      </c>
      <c r="P117" s="871">
        <v>0</v>
      </c>
      <c r="Q117" s="876">
        <v>34</v>
      </c>
      <c r="R117" s="866">
        <f t="shared" si="33"/>
        <v>47</v>
      </c>
      <c r="S117" s="867">
        <f t="shared" si="34"/>
        <v>51.85185185185185</v>
      </c>
      <c r="T117" s="659">
        <f t="shared" si="25"/>
        <v>0</v>
      </c>
    </row>
    <row r="118" spans="1:20" s="773" customFormat="1" ht="27" customHeight="1">
      <c r="A118" s="864">
        <v>15.4</v>
      </c>
      <c r="B118" s="766" t="s">
        <v>791</v>
      </c>
      <c r="C118" s="871">
        <f>D118+E118</f>
        <v>55</v>
      </c>
      <c r="D118" s="871">
        <v>46</v>
      </c>
      <c r="E118" s="871">
        <v>9</v>
      </c>
      <c r="F118" s="871">
        <v>0</v>
      </c>
      <c r="G118" s="871">
        <v>0</v>
      </c>
      <c r="H118" s="871">
        <f t="shared" si="36"/>
        <v>55</v>
      </c>
      <c r="I118" s="871">
        <f>J118+K118+L118+M118+N118+O118+P118</f>
        <v>25</v>
      </c>
      <c r="J118" s="871">
        <v>6</v>
      </c>
      <c r="K118" s="871">
        <v>0</v>
      </c>
      <c r="L118" s="871">
        <f>C118-F118-J118-K118-M118-N118-O118-P118-Q118</f>
        <v>19</v>
      </c>
      <c r="M118" s="871">
        <v>0</v>
      </c>
      <c r="N118" s="871">
        <v>0</v>
      </c>
      <c r="O118" s="871" t="s">
        <v>659</v>
      </c>
      <c r="P118" s="871" t="s">
        <v>659</v>
      </c>
      <c r="Q118" s="876">
        <v>30</v>
      </c>
      <c r="R118" s="866">
        <f t="shared" si="33"/>
        <v>49</v>
      </c>
      <c r="S118" s="867">
        <f t="shared" si="34"/>
        <v>24</v>
      </c>
      <c r="T118" s="659">
        <f t="shared" si="25"/>
        <v>0</v>
      </c>
    </row>
    <row r="119" spans="1:19" ht="52.5" customHeight="1">
      <c r="A119" s="846"/>
      <c r="B119" s="1358" t="s">
        <v>4</v>
      </c>
      <c r="C119" s="1358"/>
      <c r="D119" s="1358"/>
      <c r="E119" s="1358"/>
      <c r="F119" s="824"/>
      <c r="G119" s="825"/>
      <c r="H119" s="826"/>
      <c r="I119" s="826"/>
      <c r="J119" s="825"/>
      <c r="K119" s="825"/>
      <c r="L119" s="847"/>
      <c r="M119" s="1359" t="s">
        <v>857</v>
      </c>
      <c r="N119" s="1360"/>
      <c r="O119" s="1360"/>
      <c r="P119" s="1360"/>
      <c r="Q119" s="1360"/>
      <c r="R119" s="1360"/>
      <c r="S119" s="1360"/>
    </row>
    <row r="120" spans="1:19" ht="18.75">
      <c r="A120" s="830"/>
      <c r="B120" s="831"/>
      <c r="C120" s="832"/>
      <c r="D120" s="833"/>
      <c r="E120" s="833"/>
      <c r="F120" s="833"/>
      <c r="G120" s="833"/>
      <c r="H120" s="832"/>
      <c r="I120" s="832"/>
      <c r="J120" s="833"/>
      <c r="K120" s="833"/>
      <c r="L120" s="833"/>
      <c r="M120" s="833"/>
      <c r="N120" s="833"/>
      <c r="O120" s="833"/>
      <c r="P120" s="833"/>
      <c r="Q120" s="833"/>
      <c r="R120" s="832"/>
      <c r="S120" s="832"/>
    </row>
    <row r="121" spans="1:19" ht="18.75">
      <c r="A121" s="830"/>
      <c r="B121" s="831"/>
      <c r="C121" s="832"/>
      <c r="D121" s="833"/>
      <c r="E121" s="833"/>
      <c r="F121" s="833"/>
      <c r="G121" s="833"/>
      <c r="H121" s="832"/>
      <c r="I121" s="832"/>
      <c r="J121" s="833"/>
      <c r="K121" s="833"/>
      <c r="L121" s="833"/>
      <c r="M121" s="833"/>
      <c r="N121" s="833"/>
      <c r="O121" s="833"/>
      <c r="P121" s="833"/>
      <c r="Q121" s="833"/>
      <c r="R121" s="832"/>
      <c r="S121" s="832"/>
    </row>
    <row r="122" spans="1:19" ht="18.75">
      <c r="A122" s="834"/>
      <c r="B122" s="1354"/>
      <c r="C122" s="1354"/>
      <c r="D122" s="1354"/>
      <c r="E122" s="833"/>
      <c r="F122" s="833"/>
      <c r="G122" s="833"/>
      <c r="H122" s="832"/>
      <c r="I122" s="832"/>
      <c r="J122" s="833"/>
      <c r="K122" s="833"/>
      <c r="L122" s="833"/>
      <c r="M122" s="833"/>
      <c r="N122" s="833"/>
      <c r="O122" s="833"/>
      <c r="P122" s="833"/>
      <c r="Q122" s="1355"/>
      <c r="R122" s="1355"/>
      <c r="S122" s="1355"/>
    </row>
    <row r="123" spans="1:19" ht="18.75">
      <c r="A123" s="835"/>
      <c r="B123" s="831"/>
      <c r="C123" s="832"/>
      <c r="D123" s="833"/>
      <c r="E123" s="833"/>
      <c r="F123" s="833"/>
      <c r="G123" s="833"/>
      <c r="H123" s="832"/>
      <c r="I123" s="832"/>
      <c r="J123" s="833"/>
      <c r="K123" s="833"/>
      <c r="L123" s="833"/>
      <c r="M123" s="833"/>
      <c r="N123" s="833"/>
      <c r="O123" s="833"/>
      <c r="P123" s="833"/>
      <c r="Q123" s="833"/>
      <c r="R123" s="832"/>
      <c r="S123" s="832"/>
    </row>
    <row r="124" spans="1:19" ht="18.75">
      <c r="A124" s="834"/>
      <c r="B124" s="1354"/>
      <c r="C124" s="1354"/>
      <c r="D124" s="1354"/>
      <c r="E124" s="1354"/>
      <c r="F124" s="1354"/>
      <c r="G124" s="1354"/>
      <c r="H124" s="1354"/>
      <c r="I124" s="1354"/>
      <c r="J124" s="1354"/>
      <c r="K124" s="1354"/>
      <c r="L124" s="1354"/>
      <c r="M124" s="1354"/>
      <c r="N124" s="1354"/>
      <c r="O124" s="1354"/>
      <c r="P124" s="1354"/>
      <c r="Q124" s="833"/>
      <c r="R124" s="832"/>
      <c r="S124" s="832"/>
    </row>
    <row r="125" spans="1:19" ht="18.75">
      <c r="A125" s="836"/>
      <c r="B125" s="837"/>
      <c r="C125" s="838"/>
      <c r="D125" s="839"/>
      <c r="E125" s="839"/>
      <c r="F125" s="839"/>
      <c r="G125" s="839"/>
      <c r="H125" s="838"/>
      <c r="I125" s="838"/>
      <c r="J125" s="839"/>
      <c r="K125" s="839"/>
      <c r="L125" s="839"/>
      <c r="M125" s="839"/>
      <c r="N125" s="839"/>
      <c r="O125" s="839"/>
      <c r="P125" s="839"/>
      <c r="Q125" s="839"/>
      <c r="R125" s="832"/>
      <c r="S125" s="832"/>
    </row>
    <row r="126" spans="1:19" ht="18.75">
      <c r="A126" s="834"/>
      <c r="B126" s="1354" t="s">
        <v>774</v>
      </c>
      <c r="C126" s="1354"/>
      <c r="D126" s="1354"/>
      <c r="E126" s="1354"/>
      <c r="F126" s="833"/>
      <c r="G126" s="833"/>
      <c r="H126" s="832"/>
      <c r="I126" s="832"/>
      <c r="J126" s="833"/>
      <c r="K126" s="833"/>
      <c r="L126" s="833"/>
      <c r="M126" s="833"/>
      <c r="N126" s="833"/>
      <c r="O126" s="840" t="s">
        <v>658</v>
      </c>
      <c r="P126" s="840"/>
      <c r="Q126" s="840"/>
      <c r="R126" s="840"/>
      <c r="S126" s="840"/>
    </row>
    <row r="127" spans="1:19" ht="15.75">
      <c r="A127" s="1356"/>
      <c r="B127" s="1357"/>
      <c r="C127" s="1357"/>
      <c r="D127" s="1357"/>
      <c r="E127" s="1357"/>
      <c r="F127" s="1357"/>
      <c r="G127" s="1357"/>
      <c r="H127" s="1357"/>
      <c r="I127" s="1357"/>
      <c r="J127" s="1357"/>
      <c r="K127" s="1357"/>
      <c r="L127" s="1357"/>
      <c r="M127" s="1357"/>
      <c r="N127" s="1357"/>
      <c r="O127" s="1357"/>
      <c r="P127" s="1357"/>
      <c r="Q127" s="1357"/>
      <c r="R127" s="1357"/>
      <c r="S127" s="1357"/>
    </row>
  </sheetData>
  <sheetProtection/>
  <mergeCells count="32">
    <mergeCell ref="B124:P124"/>
    <mergeCell ref="A127:S127"/>
    <mergeCell ref="B126:E126"/>
    <mergeCell ref="B119:E119"/>
    <mergeCell ref="M119:S119"/>
    <mergeCell ref="A10:B10"/>
    <mergeCell ref="I8:I9"/>
    <mergeCell ref="A11:B11"/>
    <mergeCell ref="S6:S9"/>
    <mergeCell ref="I7:P7"/>
    <mergeCell ref="B122:D122"/>
    <mergeCell ref="Q122:S122"/>
    <mergeCell ref="E1:O1"/>
    <mergeCell ref="E2:O2"/>
    <mergeCell ref="E3:O3"/>
    <mergeCell ref="F6:F9"/>
    <mergeCell ref="G6:G9"/>
    <mergeCell ref="P2:S2"/>
    <mergeCell ref="Q7:Q9"/>
    <mergeCell ref="R6:R9"/>
    <mergeCell ref="J8:P8"/>
    <mergeCell ref="C6:E6"/>
    <mergeCell ref="A2:D2"/>
    <mergeCell ref="H6:Q6"/>
    <mergeCell ref="D8:D9"/>
    <mergeCell ref="H7:H9"/>
    <mergeCell ref="P4:S4"/>
    <mergeCell ref="C7:C9"/>
    <mergeCell ref="A6:B9"/>
    <mergeCell ref="E8:E9"/>
    <mergeCell ref="D7:E7"/>
    <mergeCell ref="A3:D3"/>
  </mergeCells>
  <conditionalFormatting sqref="I63">
    <cfRule type="expression" priority="3" dxfId="0" stopIfTrue="1">
      <formula>$I$16&lt;&gt;SUM($J$16:$P$16)</formula>
    </cfRule>
  </conditionalFormatting>
  <conditionalFormatting sqref="H63">
    <cfRule type="expression" priority="2" dxfId="0" stopIfTrue="1">
      <formula>$H$16&lt;&gt;$I$16+$Q$16</formula>
    </cfRule>
  </conditionalFormatting>
  <conditionalFormatting sqref="I63">
    <cfRule type="expression" priority="1" dxfId="0" stopIfTrue="1">
      <formula>$I$16&lt;&gt;SUM($J$16:$P$16)</formula>
    </cfRule>
  </conditionalFormatting>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D111:P113 D110:G110 I110:P110" numberStoredAsText="1"/>
    <ignoredError sqref="H109 C94:S94 C98:Q98 S98 C72:Q72 C76:S76 C63:S63 C64:H71 J64:Q71 S72 S64:S71 C44" formula="1"/>
    <ignoredError sqref="C95:Q97 S95:S97 C73:Q75 S73:S75 R98 I64:I71 R64:R71 R72 R90 R95:R97 R73:R75 I58:I62 R58:R62 S47:S48" formula="1" unlockedFormula="1"/>
    <ignoredError sqref="R98 I64:I71 R64:R71 R72 R90" formula="1" formulaRange="1"/>
    <ignoredError sqref="R95:R97 R73:R75" formula="1" formulaRange="1" unlockedFormula="1"/>
    <ignoredError sqref="R99:R108 R50:R56 R41:S46 R47:R48 R34:R38 I18:I31 R13:R31 I45:K46 R81:R89" formulaRange="1"/>
    <ignoredError sqref="C58:H62 J58:Q62 S58:S62" unlockedFormula="1"/>
    <ignoredError sqref="I58:I62 R58:R62" formulaRange="1" unlockedFormula="1"/>
    <ignoredError sqref="S47:S48" evalError="1" formulaRange="1"/>
  </ignoredErrors>
  <drawing r:id="rId1"/>
</worksheet>
</file>

<file path=xl/worksheets/sheet23.xml><?xml version="1.0" encoding="utf-8"?>
<worksheet xmlns="http://schemas.openxmlformats.org/spreadsheetml/2006/main" xmlns:r="http://schemas.openxmlformats.org/officeDocument/2006/relationships">
  <sheetPr>
    <tabColor indexed="19"/>
  </sheetPr>
  <dimension ref="A1:AJ125"/>
  <sheetViews>
    <sheetView showZeros="0" tabSelected="1" view="pageBreakPreview" zoomScale="80" zoomScaleNormal="85" zoomScaleSheetLayoutView="80" zoomScalePageLayoutView="0" workbookViewId="0" topLeftCell="A1">
      <selection activeCell="T6" sqref="T6:T9"/>
    </sheetView>
  </sheetViews>
  <sheetFormatPr defaultColWidth="9.00390625" defaultRowHeight="15.75"/>
  <cols>
    <col min="1" max="1" width="5.50390625" style="704" customWidth="1"/>
    <col min="2" max="2" width="15.625" style="705" customWidth="1"/>
    <col min="3" max="3" width="10.125" style="706" customWidth="1"/>
    <col min="4" max="4" width="10.625" style="707" customWidth="1"/>
    <col min="5" max="5" width="11.75390625" style="707" customWidth="1"/>
    <col min="6" max="6" width="8.875" style="707" customWidth="1"/>
    <col min="7" max="7" width="7.75390625" style="707" customWidth="1"/>
    <col min="8" max="8" width="10.00390625" style="706" customWidth="1"/>
    <col min="9" max="9" width="10.25390625" style="706" customWidth="1"/>
    <col min="10" max="10" width="9.875" style="707" customWidth="1"/>
    <col min="11" max="11" width="8.50390625" style="707" customWidth="1"/>
    <col min="12" max="12" width="5.875" style="707" customWidth="1"/>
    <col min="13" max="13" width="10.00390625" style="707" customWidth="1"/>
    <col min="14" max="14" width="9.25390625" style="707" customWidth="1"/>
    <col min="15" max="15" width="8.25390625" style="707" customWidth="1"/>
    <col min="16" max="16" width="6.375" style="707" customWidth="1"/>
    <col min="17" max="17" width="7.25390625" style="707" customWidth="1"/>
    <col min="18" max="18" width="10.875" style="706" customWidth="1"/>
    <col min="19" max="19" width="9.50390625" style="706" customWidth="1"/>
    <col min="20" max="20" width="6.75390625" style="705" customWidth="1"/>
    <col min="21" max="21" width="11.50390625" style="707" bestFit="1" customWidth="1"/>
    <col min="22" max="16384" width="9.00390625" style="705" customWidth="1"/>
  </cols>
  <sheetData>
    <row r="1" spans="1:20" ht="20.25" customHeight="1">
      <c r="A1" s="704" t="s">
        <v>35</v>
      </c>
      <c r="E1" s="1390" t="s">
        <v>83</v>
      </c>
      <c r="F1" s="1390"/>
      <c r="G1" s="1390"/>
      <c r="H1" s="1390"/>
      <c r="I1" s="1390"/>
      <c r="J1" s="1390"/>
      <c r="K1" s="1390"/>
      <c r="L1" s="1390"/>
      <c r="M1" s="1390"/>
      <c r="N1" s="1390"/>
      <c r="O1" s="1390"/>
      <c r="P1" s="1390"/>
      <c r="Q1" s="708" t="s">
        <v>579</v>
      </c>
      <c r="R1" s="709"/>
      <c r="S1" s="709"/>
      <c r="T1" s="710"/>
    </row>
    <row r="2" spans="1:20" ht="17.25" customHeight="1">
      <c r="A2" s="1389" t="s">
        <v>344</v>
      </c>
      <c r="B2" s="1389"/>
      <c r="C2" s="1389"/>
      <c r="D2" s="1389"/>
      <c r="E2" s="1391" t="s">
        <v>42</v>
      </c>
      <c r="F2" s="1391"/>
      <c r="G2" s="1391"/>
      <c r="H2" s="1391"/>
      <c r="I2" s="1391"/>
      <c r="J2" s="1391"/>
      <c r="K2" s="1391"/>
      <c r="L2" s="1391"/>
      <c r="M2" s="1391"/>
      <c r="N2" s="1391"/>
      <c r="O2" s="1391"/>
      <c r="P2" s="1391"/>
      <c r="Q2" s="1393" t="str">
        <f>'Thong tin'!B4</f>
        <v>CTHADS Hải Phòng</v>
      </c>
      <c r="R2" s="1393"/>
      <c r="S2" s="1393"/>
      <c r="T2" s="1393"/>
    </row>
    <row r="3" spans="1:20" ht="18" customHeight="1">
      <c r="A3" s="1389" t="s">
        <v>345</v>
      </c>
      <c r="B3" s="1389"/>
      <c r="C3" s="1389"/>
      <c r="D3" s="1389"/>
      <c r="E3" s="1392" t="str">
        <f>'Thong tin'!B3</f>
        <v>03 tháng / năm 2018</v>
      </c>
      <c r="F3" s="1392"/>
      <c r="G3" s="1392"/>
      <c r="H3" s="1392"/>
      <c r="I3" s="1392"/>
      <c r="J3" s="1392"/>
      <c r="K3" s="1392"/>
      <c r="L3" s="1392"/>
      <c r="M3" s="1392"/>
      <c r="N3" s="1392"/>
      <c r="O3" s="1392"/>
      <c r="P3" s="1392"/>
      <c r="Q3" s="708" t="s">
        <v>757</v>
      </c>
      <c r="S3" s="709"/>
      <c r="T3" s="710"/>
    </row>
    <row r="4" spans="1:20" ht="14.25" customHeight="1">
      <c r="A4" s="711" t="s">
        <v>217</v>
      </c>
      <c r="Q4" s="1385" t="s">
        <v>412</v>
      </c>
      <c r="R4" s="1385"/>
      <c r="S4" s="1385"/>
      <c r="T4" s="1385"/>
    </row>
    <row r="5" spans="17:20" ht="21.75" customHeight="1" thickBot="1">
      <c r="Q5" s="1388" t="s">
        <v>580</v>
      </c>
      <c r="R5" s="1388"/>
      <c r="S5" s="1388"/>
      <c r="T5" s="1388"/>
    </row>
    <row r="6" spans="1:36" ht="18.75" customHeight="1" thickTop="1">
      <c r="A6" s="1363" t="s">
        <v>72</v>
      </c>
      <c r="B6" s="1364"/>
      <c r="C6" s="1369" t="s">
        <v>218</v>
      </c>
      <c r="D6" s="1369"/>
      <c r="E6" s="1369"/>
      <c r="F6" s="1383" t="s">
        <v>134</v>
      </c>
      <c r="G6" s="1383" t="s">
        <v>219</v>
      </c>
      <c r="H6" s="1370" t="s">
        <v>137</v>
      </c>
      <c r="I6" s="1370"/>
      <c r="J6" s="1370"/>
      <c r="K6" s="1370"/>
      <c r="L6" s="1370"/>
      <c r="M6" s="1370"/>
      <c r="N6" s="1370"/>
      <c r="O6" s="1370"/>
      <c r="P6" s="1370"/>
      <c r="Q6" s="1370"/>
      <c r="R6" s="1370"/>
      <c r="S6" s="1367" t="s">
        <v>354</v>
      </c>
      <c r="T6" s="1386" t="s">
        <v>578</v>
      </c>
      <c r="U6" s="708"/>
      <c r="V6" s="710"/>
      <c r="W6" s="710"/>
      <c r="X6" s="710"/>
      <c r="Y6" s="710"/>
      <c r="Z6" s="710"/>
      <c r="AA6" s="710"/>
      <c r="AB6" s="710"/>
      <c r="AC6" s="710"/>
      <c r="AD6" s="710"/>
      <c r="AE6" s="710"/>
      <c r="AF6" s="710"/>
      <c r="AG6" s="710"/>
      <c r="AH6" s="710"/>
      <c r="AI6" s="710"/>
      <c r="AJ6" s="710"/>
    </row>
    <row r="7" spans="1:36" s="714" customFormat="1" ht="21" customHeight="1">
      <c r="A7" s="1365"/>
      <c r="B7" s="1366"/>
      <c r="C7" s="1368" t="s">
        <v>51</v>
      </c>
      <c r="D7" s="1373" t="s">
        <v>7</v>
      </c>
      <c r="E7" s="1373"/>
      <c r="F7" s="1384"/>
      <c r="G7" s="1384"/>
      <c r="H7" s="1382" t="s">
        <v>137</v>
      </c>
      <c r="I7" s="1373" t="s">
        <v>138</v>
      </c>
      <c r="J7" s="1373"/>
      <c r="K7" s="1373"/>
      <c r="L7" s="1373"/>
      <c r="M7" s="1373"/>
      <c r="N7" s="1373"/>
      <c r="O7" s="1373"/>
      <c r="P7" s="1373"/>
      <c r="Q7" s="1373"/>
      <c r="R7" s="1382" t="s">
        <v>220</v>
      </c>
      <c r="S7" s="1368"/>
      <c r="T7" s="1387"/>
      <c r="U7" s="708"/>
      <c r="V7" s="710"/>
      <c r="W7" s="710"/>
      <c r="X7" s="710"/>
      <c r="Y7" s="710"/>
      <c r="Z7" s="710"/>
      <c r="AA7" s="710"/>
      <c r="AB7" s="710"/>
      <c r="AC7" s="710"/>
      <c r="AD7" s="710"/>
      <c r="AE7" s="710"/>
      <c r="AF7" s="710"/>
      <c r="AG7" s="710"/>
      <c r="AH7" s="710"/>
      <c r="AI7" s="710"/>
      <c r="AJ7" s="710"/>
    </row>
    <row r="8" spans="1:36" ht="21.75" customHeight="1">
      <c r="A8" s="1365"/>
      <c r="B8" s="1366"/>
      <c r="C8" s="1368"/>
      <c r="D8" s="1373" t="s">
        <v>221</v>
      </c>
      <c r="E8" s="1373" t="s">
        <v>222</v>
      </c>
      <c r="F8" s="1384"/>
      <c r="G8" s="1384"/>
      <c r="H8" s="1382"/>
      <c r="I8" s="1382" t="s">
        <v>577</v>
      </c>
      <c r="J8" s="1373" t="s">
        <v>7</v>
      </c>
      <c r="K8" s="1373"/>
      <c r="L8" s="1373"/>
      <c r="M8" s="1373"/>
      <c r="N8" s="1373"/>
      <c r="O8" s="1373"/>
      <c r="P8" s="1373"/>
      <c r="Q8" s="1373"/>
      <c r="R8" s="1382"/>
      <c r="S8" s="1368"/>
      <c r="T8" s="1387"/>
      <c r="U8" s="708"/>
      <c r="V8" s="710"/>
      <c r="W8" s="710"/>
      <c r="X8" s="710"/>
      <c r="Y8" s="710"/>
      <c r="Z8" s="710"/>
      <c r="AA8" s="710"/>
      <c r="AB8" s="710"/>
      <c r="AC8" s="710"/>
      <c r="AD8" s="710"/>
      <c r="AE8" s="710"/>
      <c r="AF8" s="710"/>
      <c r="AG8" s="710"/>
      <c r="AH8" s="710"/>
      <c r="AI8" s="710"/>
      <c r="AJ8" s="710"/>
    </row>
    <row r="9" spans="1:36" ht="84" customHeight="1">
      <c r="A9" s="1365"/>
      <c r="B9" s="1366"/>
      <c r="C9" s="1368"/>
      <c r="D9" s="1373"/>
      <c r="E9" s="1373"/>
      <c r="F9" s="1384"/>
      <c r="G9" s="1384"/>
      <c r="H9" s="1382"/>
      <c r="I9" s="1382"/>
      <c r="J9" s="712" t="s">
        <v>223</v>
      </c>
      <c r="K9" s="712" t="s">
        <v>224</v>
      </c>
      <c r="L9" s="712" t="s">
        <v>202</v>
      </c>
      <c r="M9" s="713" t="s">
        <v>142</v>
      </c>
      <c r="N9" s="713" t="s">
        <v>225</v>
      </c>
      <c r="O9" s="713" t="s">
        <v>146</v>
      </c>
      <c r="P9" s="713" t="s">
        <v>355</v>
      </c>
      <c r="Q9" s="713" t="s">
        <v>150</v>
      </c>
      <c r="R9" s="1382"/>
      <c r="S9" s="1368"/>
      <c r="T9" s="1387"/>
      <c r="U9" s="708"/>
      <c r="V9" s="710"/>
      <c r="W9" s="710"/>
      <c r="X9" s="710"/>
      <c r="Y9" s="710"/>
      <c r="Z9" s="710"/>
      <c r="AA9" s="710"/>
      <c r="AB9" s="710"/>
      <c r="AC9" s="710"/>
      <c r="AD9" s="710"/>
      <c r="AE9" s="710"/>
      <c r="AF9" s="710"/>
      <c r="AG9" s="710"/>
      <c r="AH9" s="710"/>
      <c r="AI9" s="710"/>
      <c r="AJ9" s="710"/>
    </row>
    <row r="10" spans="1:20" ht="17.25" customHeight="1">
      <c r="A10" s="1371" t="s">
        <v>6</v>
      </c>
      <c r="B10" s="1372"/>
      <c r="C10" s="661">
        <v>1</v>
      </c>
      <c r="D10" s="639">
        <v>2</v>
      </c>
      <c r="E10" s="639">
        <v>3</v>
      </c>
      <c r="F10" s="639">
        <v>4</v>
      </c>
      <c r="G10" s="639">
        <v>5</v>
      </c>
      <c r="H10" s="661">
        <v>6</v>
      </c>
      <c r="I10" s="661">
        <v>7</v>
      </c>
      <c r="J10" s="639">
        <v>8</v>
      </c>
      <c r="K10" s="639">
        <v>9</v>
      </c>
      <c r="L10" s="639" t="s">
        <v>101</v>
      </c>
      <c r="M10" s="639" t="s">
        <v>102</v>
      </c>
      <c r="N10" s="639" t="s">
        <v>103</v>
      </c>
      <c r="O10" s="639" t="s">
        <v>104</v>
      </c>
      <c r="P10" s="639" t="s">
        <v>105</v>
      </c>
      <c r="Q10" s="639" t="s">
        <v>357</v>
      </c>
      <c r="R10" s="661" t="s">
        <v>358</v>
      </c>
      <c r="S10" s="661" t="s">
        <v>359</v>
      </c>
      <c r="T10" s="638" t="s">
        <v>360</v>
      </c>
    </row>
    <row r="11" spans="1:21" s="822" customFormat="1" ht="24" customHeight="1">
      <c r="A11" s="1376" t="s">
        <v>37</v>
      </c>
      <c r="B11" s="1377"/>
      <c r="C11" s="906">
        <f>C12+C32</f>
        <v>4985670303</v>
      </c>
      <c r="D11" s="906">
        <f>D12+D32</f>
        <v>3209226708</v>
      </c>
      <c r="E11" s="906">
        <f aca="true" t="shared" si="0" ref="E11:S11">E12+E32</f>
        <v>1776443595</v>
      </c>
      <c r="F11" s="906">
        <f t="shared" si="0"/>
        <v>4732420</v>
      </c>
      <c r="G11" s="906">
        <f t="shared" si="0"/>
        <v>9109528</v>
      </c>
      <c r="H11" s="906">
        <f t="shared" si="0"/>
        <v>4980937883</v>
      </c>
      <c r="I11" s="906">
        <f t="shared" si="0"/>
        <v>3369679897</v>
      </c>
      <c r="J11" s="906">
        <f t="shared" si="0"/>
        <v>123654593</v>
      </c>
      <c r="K11" s="906">
        <f t="shared" si="0"/>
        <v>9093094</v>
      </c>
      <c r="L11" s="906">
        <f t="shared" si="0"/>
        <v>5306</v>
      </c>
      <c r="M11" s="906">
        <f t="shared" si="0"/>
        <v>3192792827</v>
      </c>
      <c r="N11" s="906">
        <f t="shared" si="0"/>
        <v>15858503</v>
      </c>
      <c r="O11" s="906">
        <f t="shared" si="0"/>
        <v>25075796</v>
      </c>
      <c r="P11" s="906">
        <f t="shared" si="0"/>
        <v>0</v>
      </c>
      <c r="Q11" s="906">
        <f t="shared" si="0"/>
        <v>3199778</v>
      </c>
      <c r="R11" s="906">
        <f t="shared" si="0"/>
        <v>1611257986</v>
      </c>
      <c r="S11" s="906">
        <f t="shared" si="0"/>
        <v>4848184890</v>
      </c>
      <c r="T11" s="820">
        <f>(J11+K11+L11)/I11*100</f>
        <v>3.93963216263328</v>
      </c>
      <c r="U11" s="821">
        <f>C11-F11-H11</f>
        <v>0</v>
      </c>
    </row>
    <row r="12" spans="1:21" s="822" customFormat="1" ht="24" customHeight="1">
      <c r="A12" s="907" t="s">
        <v>0</v>
      </c>
      <c r="B12" s="908" t="s">
        <v>98</v>
      </c>
      <c r="C12" s="823">
        <f>SUM(C13:C31)</f>
        <v>1420856575</v>
      </c>
      <c r="D12" s="823">
        <f aca="true" t="shared" si="1" ref="D12:R12">SUM(D13:D31)</f>
        <v>869706440</v>
      </c>
      <c r="E12" s="823">
        <f t="shared" si="1"/>
        <v>551150135</v>
      </c>
      <c r="F12" s="823">
        <f t="shared" si="1"/>
        <v>82566</v>
      </c>
      <c r="G12" s="823">
        <f t="shared" si="1"/>
        <v>0</v>
      </c>
      <c r="H12" s="823">
        <f t="shared" si="1"/>
        <v>1420774009</v>
      </c>
      <c r="I12" s="823">
        <f t="shared" si="1"/>
        <v>980116441</v>
      </c>
      <c r="J12" s="823">
        <f t="shared" si="1"/>
        <v>51424288</v>
      </c>
      <c r="K12" s="823">
        <f t="shared" si="1"/>
        <v>0</v>
      </c>
      <c r="L12" s="823">
        <f t="shared" si="1"/>
        <v>0</v>
      </c>
      <c r="M12" s="823">
        <f t="shared" si="1"/>
        <v>889659571</v>
      </c>
      <c r="N12" s="823">
        <f t="shared" si="1"/>
        <v>13965888</v>
      </c>
      <c r="O12" s="823">
        <f t="shared" si="1"/>
        <v>25066694</v>
      </c>
      <c r="P12" s="823">
        <f t="shared" si="1"/>
        <v>0</v>
      </c>
      <c r="Q12" s="823">
        <f t="shared" si="1"/>
        <v>0</v>
      </c>
      <c r="R12" s="823">
        <f t="shared" si="1"/>
        <v>440657568</v>
      </c>
      <c r="S12" s="823">
        <f>M12+N12+O12+P12+Q12+R12</f>
        <v>1369349721</v>
      </c>
      <c r="T12" s="820">
        <f>(J12+K12+L12)/I12*100</f>
        <v>5.246752921268464</v>
      </c>
      <c r="U12" s="821">
        <f aca="true" t="shared" si="2" ref="U12:U75">C12-F12-H12</f>
        <v>0</v>
      </c>
    </row>
    <row r="13" spans="1:21" ht="24.75" customHeight="1">
      <c r="A13" s="848" t="s">
        <v>54</v>
      </c>
      <c r="B13" s="848" t="s">
        <v>660</v>
      </c>
      <c r="C13" s="784">
        <f>D13+E13</f>
        <v>1327602</v>
      </c>
      <c r="D13" s="788">
        <v>336800</v>
      </c>
      <c r="E13" s="784">
        <f>989602+1200</f>
        <v>990802</v>
      </c>
      <c r="F13" s="784">
        <v>0</v>
      </c>
      <c r="G13" s="784"/>
      <c r="H13" s="784">
        <f>I13+R13</f>
        <v>1327602</v>
      </c>
      <c r="I13" s="784">
        <f>SUM(J13:Q13)</f>
        <v>1327602</v>
      </c>
      <c r="J13" s="784">
        <v>9000</v>
      </c>
      <c r="K13" s="784"/>
      <c r="L13" s="784"/>
      <c r="M13" s="784">
        <f>337000-200-4000+985802</f>
        <v>1318602</v>
      </c>
      <c r="N13" s="784"/>
      <c r="O13" s="784"/>
      <c r="P13" s="784"/>
      <c r="Q13" s="784"/>
      <c r="R13" s="784"/>
      <c r="S13" s="789">
        <f aca="true" t="shared" si="3" ref="S13:S31">SUM(M13:R13)</f>
        <v>1318602</v>
      </c>
      <c r="T13" s="783">
        <f aca="true" t="shared" si="4" ref="T13:T31">(J13+K13+L13)/I13*100</f>
        <v>0.6779140133865421</v>
      </c>
      <c r="U13" s="821">
        <f t="shared" si="2"/>
        <v>0</v>
      </c>
    </row>
    <row r="14" spans="1:21" ht="24.75" customHeight="1">
      <c r="A14" s="848" t="s">
        <v>55</v>
      </c>
      <c r="B14" s="848" t="s">
        <v>661</v>
      </c>
      <c r="C14" s="784">
        <f aca="true" t="shared" si="5" ref="C14:C31">D14+E14</f>
        <v>382385</v>
      </c>
      <c r="D14" s="788">
        <v>5650</v>
      </c>
      <c r="E14" s="784">
        <f>9002+367733</f>
        <v>376735</v>
      </c>
      <c r="F14" s="784">
        <v>0</v>
      </c>
      <c r="G14" s="784"/>
      <c r="H14" s="784">
        <f aca="true" t="shared" si="6" ref="H14:H31">I14+R14</f>
        <v>382385</v>
      </c>
      <c r="I14" s="784">
        <f aca="true" t="shared" si="7" ref="I14:I31">SUM(J14:Q14)</f>
        <v>382385</v>
      </c>
      <c r="J14" s="784">
        <v>0</v>
      </c>
      <c r="K14" s="784"/>
      <c r="L14" s="784"/>
      <c r="M14" s="784">
        <f>7352-1702+376735</f>
        <v>382385</v>
      </c>
      <c r="N14" s="784"/>
      <c r="O14" s="784"/>
      <c r="P14" s="784"/>
      <c r="Q14" s="784"/>
      <c r="R14" s="784"/>
      <c r="S14" s="789">
        <f t="shared" si="3"/>
        <v>382385</v>
      </c>
      <c r="T14" s="783">
        <f t="shared" si="4"/>
        <v>0</v>
      </c>
      <c r="U14" s="821">
        <f t="shared" si="2"/>
        <v>0</v>
      </c>
    </row>
    <row r="15" spans="1:21" ht="24.75" customHeight="1">
      <c r="A15" s="848" t="s">
        <v>141</v>
      </c>
      <c r="B15" s="848" t="s">
        <v>658</v>
      </c>
      <c r="C15" s="784">
        <f>D15+E15</f>
        <v>275825</v>
      </c>
      <c r="D15" s="788">
        <v>0</v>
      </c>
      <c r="E15" s="784">
        <f>2100+300+273425</f>
        <v>275825</v>
      </c>
      <c r="F15" s="784">
        <v>0</v>
      </c>
      <c r="G15" s="784"/>
      <c r="H15" s="784">
        <f t="shared" si="6"/>
        <v>275825</v>
      </c>
      <c r="I15" s="784">
        <f t="shared" si="7"/>
        <v>275825</v>
      </c>
      <c r="J15" s="784">
        <v>1200</v>
      </c>
      <c r="K15" s="784"/>
      <c r="L15" s="784"/>
      <c r="M15" s="784">
        <v>274625</v>
      </c>
      <c r="N15" s="784"/>
      <c r="O15" s="784"/>
      <c r="P15" s="784"/>
      <c r="Q15" s="784"/>
      <c r="R15" s="784"/>
      <c r="S15" s="789">
        <f t="shared" si="3"/>
        <v>274625</v>
      </c>
      <c r="T15" s="783">
        <f t="shared" si="4"/>
        <v>0.4350584609806943</v>
      </c>
      <c r="U15" s="821">
        <f t="shared" si="2"/>
        <v>0</v>
      </c>
    </row>
    <row r="16" spans="1:21" ht="24.75" customHeight="1">
      <c r="A16" s="848" t="s">
        <v>143</v>
      </c>
      <c r="B16" s="848" t="s">
        <v>750</v>
      </c>
      <c r="C16" s="784">
        <f t="shared" si="5"/>
        <v>42867810</v>
      </c>
      <c r="D16" s="788">
        <v>37629709</v>
      </c>
      <c r="E16" s="784">
        <f>4424509+813592</f>
        <v>5238101</v>
      </c>
      <c r="F16" s="784">
        <v>0</v>
      </c>
      <c r="G16" s="784"/>
      <c r="H16" s="784">
        <f t="shared" si="6"/>
        <v>42867810</v>
      </c>
      <c r="I16" s="784">
        <f t="shared" si="7"/>
        <v>42867810</v>
      </c>
      <c r="J16" s="784">
        <f>6423000+93360+4080000</f>
        <v>10596360</v>
      </c>
      <c r="K16" s="784"/>
      <c r="L16" s="784"/>
      <c r="M16" s="784">
        <f>12563015-1998491-3359768</f>
        <v>7204756</v>
      </c>
      <c r="N16" s="784"/>
      <c r="O16" s="784">
        <v>25066694</v>
      </c>
      <c r="P16" s="784"/>
      <c r="Q16" s="784"/>
      <c r="R16" s="784"/>
      <c r="S16" s="789">
        <f t="shared" si="3"/>
        <v>32271450</v>
      </c>
      <c r="T16" s="783">
        <f t="shared" si="4"/>
        <v>24.718687518676603</v>
      </c>
      <c r="U16" s="821">
        <f t="shared" si="2"/>
        <v>0</v>
      </c>
    </row>
    <row r="17" spans="1:21" ht="24.75" customHeight="1">
      <c r="A17" s="848" t="s">
        <v>145</v>
      </c>
      <c r="B17" s="848" t="s">
        <v>662</v>
      </c>
      <c r="C17" s="784">
        <f t="shared" si="5"/>
        <v>4049089</v>
      </c>
      <c r="D17" s="788">
        <v>3713115</v>
      </c>
      <c r="E17" s="784">
        <f>33173+800+302001</f>
        <v>335974</v>
      </c>
      <c r="F17" s="784">
        <v>0</v>
      </c>
      <c r="G17" s="784"/>
      <c r="H17" s="784">
        <f t="shared" si="6"/>
        <v>4049089</v>
      </c>
      <c r="I17" s="784">
        <f t="shared" si="7"/>
        <v>1867759</v>
      </c>
      <c r="J17" s="784">
        <f>33173+600+302051</f>
        <v>335824</v>
      </c>
      <c r="K17" s="784"/>
      <c r="L17" s="785"/>
      <c r="M17" s="785">
        <f>1531785+200-50</f>
        <v>1531935</v>
      </c>
      <c r="N17" s="786"/>
      <c r="O17" s="786"/>
      <c r="P17" s="786"/>
      <c r="Q17" s="786"/>
      <c r="R17" s="786">
        <v>2181330</v>
      </c>
      <c r="S17" s="789">
        <f t="shared" si="3"/>
        <v>3713265</v>
      </c>
      <c r="T17" s="783">
        <f t="shared" si="4"/>
        <v>17.980049888663366</v>
      </c>
      <c r="U17" s="821">
        <f t="shared" si="2"/>
        <v>0</v>
      </c>
    </row>
    <row r="18" spans="1:21" ht="24.75" customHeight="1">
      <c r="A18" s="848" t="s">
        <v>147</v>
      </c>
      <c r="B18" s="848" t="s">
        <v>663</v>
      </c>
      <c r="C18" s="784">
        <f t="shared" si="5"/>
        <v>36084778</v>
      </c>
      <c r="D18" s="788">
        <v>36084778</v>
      </c>
      <c r="E18" s="784">
        <v>0</v>
      </c>
      <c r="F18" s="784">
        <v>0</v>
      </c>
      <c r="G18" s="786"/>
      <c r="H18" s="784">
        <f t="shared" si="6"/>
        <v>36084778</v>
      </c>
      <c r="I18" s="784">
        <f t="shared" si="7"/>
        <v>5745765</v>
      </c>
      <c r="J18" s="784">
        <v>0</v>
      </c>
      <c r="K18" s="786">
        <v>0</v>
      </c>
      <c r="L18" s="786"/>
      <c r="M18" s="786">
        <v>5745765</v>
      </c>
      <c r="N18" s="785"/>
      <c r="O18" s="786"/>
      <c r="P18" s="786"/>
      <c r="Q18" s="786"/>
      <c r="R18" s="786">
        <v>30339013</v>
      </c>
      <c r="S18" s="789">
        <f t="shared" si="3"/>
        <v>36084778</v>
      </c>
      <c r="T18" s="783">
        <f t="shared" si="4"/>
        <v>0</v>
      </c>
      <c r="U18" s="821">
        <f t="shared" si="2"/>
        <v>0</v>
      </c>
    </row>
    <row r="19" spans="1:21" ht="24.75" customHeight="1">
      <c r="A19" s="848" t="s">
        <v>149</v>
      </c>
      <c r="B19" s="848" t="s">
        <v>664</v>
      </c>
      <c r="C19" s="784">
        <f t="shared" si="5"/>
        <v>11111935</v>
      </c>
      <c r="D19" s="788">
        <v>11111935</v>
      </c>
      <c r="E19" s="784">
        <v>0</v>
      </c>
      <c r="F19" s="784">
        <v>0</v>
      </c>
      <c r="G19" s="786"/>
      <c r="H19" s="784">
        <f t="shared" si="6"/>
        <v>11111935</v>
      </c>
      <c r="I19" s="784">
        <f t="shared" si="7"/>
        <v>10982329</v>
      </c>
      <c r="J19" s="784">
        <v>0</v>
      </c>
      <c r="K19" s="786"/>
      <c r="L19" s="786"/>
      <c r="M19" s="786">
        <f>23282329-12300000</f>
        <v>10982329</v>
      </c>
      <c r="N19" s="785"/>
      <c r="O19" s="786"/>
      <c r="P19" s="786"/>
      <c r="Q19" s="786"/>
      <c r="R19" s="786">
        <v>129606</v>
      </c>
      <c r="S19" s="789">
        <f t="shared" si="3"/>
        <v>11111935</v>
      </c>
      <c r="T19" s="783">
        <f t="shared" si="4"/>
        <v>0</v>
      </c>
      <c r="U19" s="821">
        <f t="shared" si="2"/>
        <v>0</v>
      </c>
    </row>
    <row r="20" spans="1:21" ht="24.75" customHeight="1">
      <c r="A20" s="848" t="s">
        <v>186</v>
      </c>
      <c r="B20" s="848" t="s">
        <v>665</v>
      </c>
      <c r="C20" s="784">
        <f t="shared" si="5"/>
        <v>253593</v>
      </c>
      <c r="D20" s="788">
        <v>192587</v>
      </c>
      <c r="E20" s="784">
        <f>11200+49806</f>
        <v>61006</v>
      </c>
      <c r="F20" s="784">
        <v>0</v>
      </c>
      <c r="G20" s="786"/>
      <c r="H20" s="784">
        <f t="shared" si="6"/>
        <v>253593</v>
      </c>
      <c r="I20" s="784">
        <f t="shared" si="7"/>
        <v>200506</v>
      </c>
      <c r="J20" s="784">
        <f>800+49806</f>
        <v>50606</v>
      </c>
      <c r="K20" s="786">
        <v>0</v>
      </c>
      <c r="L20" s="786"/>
      <c r="M20" s="786">
        <f>139500+10400</f>
        <v>149900</v>
      </c>
      <c r="N20" s="785"/>
      <c r="O20" s="786"/>
      <c r="P20" s="786"/>
      <c r="Q20" s="786"/>
      <c r="R20" s="786">
        <v>53087</v>
      </c>
      <c r="S20" s="789">
        <f t="shared" si="3"/>
        <v>202987</v>
      </c>
      <c r="T20" s="783">
        <f t="shared" si="4"/>
        <v>25.239144963242993</v>
      </c>
      <c r="U20" s="821">
        <f t="shared" si="2"/>
        <v>0</v>
      </c>
    </row>
    <row r="21" spans="1:21" ht="24.75" customHeight="1">
      <c r="A21" s="848" t="s">
        <v>575</v>
      </c>
      <c r="B21" s="848" t="s">
        <v>667</v>
      </c>
      <c r="C21" s="784">
        <f t="shared" si="5"/>
        <v>103155876</v>
      </c>
      <c r="D21" s="788">
        <v>103036523</v>
      </c>
      <c r="E21" s="784">
        <v>119353</v>
      </c>
      <c r="F21" s="784">
        <v>0</v>
      </c>
      <c r="G21" s="786"/>
      <c r="H21" s="784">
        <f t="shared" si="6"/>
        <v>103155876</v>
      </c>
      <c r="I21" s="784">
        <f t="shared" si="7"/>
        <v>103155876</v>
      </c>
      <c r="J21" s="784">
        <v>0</v>
      </c>
      <c r="K21" s="786">
        <v>0</v>
      </c>
      <c r="L21" s="786"/>
      <c r="M21" s="786">
        <f>113037023-10000000-500+119353</f>
        <v>103155876</v>
      </c>
      <c r="N21" s="785"/>
      <c r="O21" s="786"/>
      <c r="P21" s="786"/>
      <c r="Q21" s="786"/>
      <c r="R21" s="786"/>
      <c r="S21" s="789">
        <f t="shared" si="3"/>
        <v>103155876</v>
      </c>
      <c r="T21" s="783">
        <f t="shared" si="4"/>
        <v>0</v>
      </c>
      <c r="U21" s="821">
        <f t="shared" si="2"/>
        <v>0</v>
      </c>
    </row>
    <row r="22" spans="1:21" ht="24.75" customHeight="1">
      <c r="A22" s="848" t="s">
        <v>666</v>
      </c>
      <c r="B22" s="848" t="s">
        <v>669</v>
      </c>
      <c r="C22" s="784">
        <f t="shared" si="5"/>
        <v>72683776</v>
      </c>
      <c r="D22" s="788">
        <v>39751844</v>
      </c>
      <c r="E22" s="784">
        <v>32931932</v>
      </c>
      <c r="F22" s="784">
        <v>0</v>
      </c>
      <c r="G22" s="786"/>
      <c r="H22" s="784">
        <f t="shared" si="6"/>
        <v>72683776</v>
      </c>
      <c r="I22" s="784">
        <f t="shared" si="7"/>
        <v>72683776</v>
      </c>
      <c r="J22" s="784">
        <v>0</v>
      </c>
      <c r="K22" s="786"/>
      <c r="L22" s="786"/>
      <c r="M22" s="786">
        <f>39751844+32931932</f>
        <v>72683776</v>
      </c>
      <c r="N22" s="785"/>
      <c r="O22" s="786"/>
      <c r="P22" s="786"/>
      <c r="Q22" s="786"/>
      <c r="R22" s="786"/>
      <c r="S22" s="789">
        <f t="shared" si="3"/>
        <v>72683776</v>
      </c>
      <c r="T22" s="783">
        <f t="shared" si="4"/>
        <v>0</v>
      </c>
      <c r="U22" s="821">
        <f t="shared" si="2"/>
        <v>0</v>
      </c>
    </row>
    <row r="23" spans="1:21" ht="24.75" customHeight="1">
      <c r="A23" s="848" t="s">
        <v>668</v>
      </c>
      <c r="B23" s="848" t="s">
        <v>799</v>
      </c>
      <c r="C23" s="784">
        <f t="shared" si="5"/>
        <v>42877896</v>
      </c>
      <c r="D23" s="788">
        <f>33762968+9109528</f>
        <v>42872496</v>
      </c>
      <c r="E23" s="784">
        <v>5400</v>
      </c>
      <c r="F23" s="784">
        <v>0</v>
      </c>
      <c r="G23" s="786"/>
      <c r="H23" s="784">
        <f t="shared" si="6"/>
        <v>42877896</v>
      </c>
      <c r="I23" s="784">
        <f t="shared" si="7"/>
        <v>42754675</v>
      </c>
      <c r="J23" s="784">
        <f>2267851+69000</f>
        <v>2336851</v>
      </c>
      <c r="K23" s="786"/>
      <c r="L23" s="786"/>
      <c r="M23" s="786">
        <f>19673859+5400-2336851+9109528</f>
        <v>26451936</v>
      </c>
      <c r="N23" s="785">
        <v>13965888</v>
      </c>
      <c r="O23" s="786"/>
      <c r="P23" s="786"/>
      <c r="Q23" s="786"/>
      <c r="R23" s="786">
        <f>7540+115681</f>
        <v>123221</v>
      </c>
      <c r="S23" s="789">
        <f t="shared" si="3"/>
        <v>40541045</v>
      </c>
      <c r="T23" s="783">
        <f t="shared" si="4"/>
        <v>5.465720415369781</v>
      </c>
      <c r="U23" s="821">
        <f t="shared" si="2"/>
        <v>0</v>
      </c>
    </row>
    <row r="24" spans="1:21" ht="24.75" customHeight="1">
      <c r="A24" s="848" t="s">
        <v>670</v>
      </c>
      <c r="B24" s="848" t="s">
        <v>778</v>
      </c>
      <c r="C24" s="784">
        <f t="shared" si="5"/>
        <v>570415596</v>
      </c>
      <c r="D24" s="786">
        <v>102594228</v>
      </c>
      <c r="E24" s="784">
        <f>463349314+4472054</f>
        <v>467821368</v>
      </c>
      <c r="F24" s="784">
        <v>0</v>
      </c>
      <c r="G24" s="786"/>
      <c r="H24" s="784">
        <f t="shared" si="6"/>
        <v>570415596</v>
      </c>
      <c r="I24" s="784">
        <f t="shared" si="7"/>
        <v>567650242</v>
      </c>
      <c r="J24" s="784">
        <v>29354082</v>
      </c>
      <c r="K24" s="786"/>
      <c r="L24" s="786"/>
      <c r="M24" s="786">
        <f>100046207-217333+433995232+4472054</f>
        <v>538296160</v>
      </c>
      <c r="N24" s="785"/>
      <c r="O24" s="786"/>
      <c r="P24" s="786"/>
      <c r="Q24" s="786"/>
      <c r="R24" s="786">
        <f>2548021+217333</f>
        <v>2765354</v>
      </c>
      <c r="S24" s="789">
        <f t="shared" si="3"/>
        <v>541061514</v>
      </c>
      <c r="T24" s="783">
        <f t="shared" si="4"/>
        <v>5.171156431921331</v>
      </c>
      <c r="U24" s="821">
        <f t="shared" si="2"/>
        <v>0</v>
      </c>
    </row>
    <row r="25" spans="1:21" ht="24.75" customHeight="1">
      <c r="A25" s="848" t="s">
        <v>671</v>
      </c>
      <c r="B25" s="848" t="s">
        <v>673</v>
      </c>
      <c r="C25" s="784">
        <f>D25+E25</f>
        <v>495266920</v>
      </c>
      <c r="D25" s="784">
        <v>481021662</v>
      </c>
      <c r="E25" s="784">
        <v>14245258</v>
      </c>
      <c r="F25" s="784">
        <v>28400</v>
      </c>
      <c r="G25" s="784"/>
      <c r="H25" s="784">
        <f>I25+R25</f>
        <v>495238520</v>
      </c>
      <c r="I25" s="784">
        <f>SUM(J25:Q25)</f>
        <v>95829369</v>
      </c>
      <c r="J25" s="784">
        <v>69247</v>
      </c>
      <c r="K25" s="784">
        <v>0</v>
      </c>
      <c r="L25" s="785"/>
      <c r="M25" s="785">
        <f>81612511+14147611</f>
        <v>95760122</v>
      </c>
      <c r="N25" s="786">
        <v>0</v>
      </c>
      <c r="O25" s="786">
        <v>0</v>
      </c>
      <c r="P25" s="786"/>
      <c r="Q25" s="786"/>
      <c r="R25" s="786">
        <v>399409151</v>
      </c>
      <c r="S25" s="789">
        <f t="shared" si="3"/>
        <v>495169273</v>
      </c>
      <c r="T25" s="783">
        <f t="shared" si="4"/>
        <v>0.07226072833684212</v>
      </c>
      <c r="U25" s="821">
        <f t="shared" si="2"/>
        <v>0</v>
      </c>
    </row>
    <row r="26" spans="1:21" ht="24.75" customHeight="1">
      <c r="A26" s="848" t="s">
        <v>672</v>
      </c>
      <c r="B26" s="848" t="s">
        <v>675</v>
      </c>
      <c r="C26" s="784">
        <f>D26+E26</f>
        <v>2657002</v>
      </c>
      <c r="D26" s="790">
        <v>2569533</v>
      </c>
      <c r="E26" s="784">
        <v>87469</v>
      </c>
      <c r="F26" s="784">
        <v>0</v>
      </c>
      <c r="G26" s="784"/>
      <c r="H26" s="784">
        <f>I26+R26</f>
        <v>2657002</v>
      </c>
      <c r="I26" s="784">
        <f>SUM(J26:Q26)</f>
        <v>2559385</v>
      </c>
      <c r="J26" s="784">
        <v>35803</v>
      </c>
      <c r="K26" s="784"/>
      <c r="L26" s="785"/>
      <c r="M26" s="785">
        <v>2523582</v>
      </c>
      <c r="N26" s="785"/>
      <c r="O26" s="791"/>
      <c r="P26" s="791"/>
      <c r="Q26" s="791"/>
      <c r="R26" s="791">
        <v>97617</v>
      </c>
      <c r="S26" s="789">
        <f t="shared" si="3"/>
        <v>2621199</v>
      </c>
      <c r="T26" s="783">
        <f t="shared" si="4"/>
        <v>1.3988907491448141</v>
      </c>
      <c r="U26" s="821">
        <f t="shared" si="2"/>
        <v>0</v>
      </c>
    </row>
    <row r="27" spans="1:21" ht="24.75" customHeight="1">
      <c r="A27" s="848" t="s">
        <v>674</v>
      </c>
      <c r="B27" s="848" t="s">
        <v>677</v>
      </c>
      <c r="C27" s="784">
        <f t="shared" si="5"/>
        <v>28996219</v>
      </c>
      <c r="D27" s="788">
        <v>1278149</v>
      </c>
      <c r="E27" s="784">
        <f>23097026+4482919+122684+15441</f>
        <v>27718070</v>
      </c>
      <c r="F27" s="784">
        <v>0</v>
      </c>
      <c r="G27" s="784"/>
      <c r="H27" s="784">
        <f t="shared" si="6"/>
        <v>28996219</v>
      </c>
      <c r="I27" s="784">
        <f t="shared" si="7"/>
        <v>28971219</v>
      </c>
      <c r="J27" s="784">
        <f>8246200+15441</f>
        <v>8261641</v>
      </c>
      <c r="K27" s="784"/>
      <c r="L27" s="785"/>
      <c r="M27" s="785">
        <f>16103975+4605603</f>
        <v>20709578</v>
      </c>
      <c r="N27" s="785"/>
      <c r="O27" s="786"/>
      <c r="P27" s="786"/>
      <c r="Q27" s="786"/>
      <c r="R27" s="786">
        <v>25000</v>
      </c>
      <c r="S27" s="789">
        <f t="shared" si="3"/>
        <v>20734578</v>
      </c>
      <c r="T27" s="783">
        <f t="shared" si="4"/>
        <v>28.516718609596648</v>
      </c>
      <c r="U27" s="821">
        <f t="shared" si="2"/>
        <v>0</v>
      </c>
    </row>
    <row r="28" spans="1:21" ht="24.75" customHeight="1">
      <c r="A28" s="848" t="s">
        <v>676</v>
      </c>
      <c r="B28" s="848" t="s">
        <v>679</v>
      </c>
      <c r="C28" s="784">
        <f t="shared" si="5"/>
        <v>5492646</v>
      </c>
      <c r="D28" s="784">
        <v>5325863</v>
      </c>
      <c r="E28" s="784">
        <f>65050+101733</f>
        <v>166783</v>
      </c>
      <c r="F28" s="784">
        <v>0</v>
      </c>
      <c r="G28" s="784"/>
      <c r="H28" s="784">
        <f t="shared" si="6"/>
        <v>5492646</v>
      </c>
      <c r="I28" s="784">
        <f t="shared" si="7"/>
        <v>190983</v>
      </c>
      <c r="J28" s="784">
        <f>6050+98933</f>
        <v>104983</v>
      </c>
      <c r="K28" s="784">
        <v>0</v>
      </c>
      <c r="L28" s="785">
        <v>0</v>
      </c>
      <c r="M28" s="785">
        <f>192494-116200-56094+4000+59000+2800</f>
        <v>86000</v>
      </c>
      <c r="N28" s="785"/>
      <c r="O28" s="786"/>
      <c r="P28" s="786"/>
      <c r="Q28" s="786"/>
      <c r="R28" s="786">
        <f>5176064+69505+56094</f>
        <v>5301663</v>
      </c>
      <c r="S28" s="789">
        <f t="shared" si="3"/>
        <v>5387663</v>
      </c>
      <c r="T28" s="783">
        <f t="shared" si="4"/>
        <v>54.969814067220646</v>
      </c>
      <c r="U28" s="821">
        <f t="shared" si="2"/>
        <v>0</v>
      </c>
    </row>
    <row r="29" spans="1:21" ht="24.75" customHeight="1">
      <c r="A29" s="848" t="s">
        <v>678</v>
      </c>
      <c r="B29" s="848" t="s">
        <v>795</v>
      </c>
      <c r="C29" s="784">
        <f t="shared" si="5"/>
        <v>2097595</v>
      </c>
      <c r="D29" s="784">
        <v>1926742</v>
      </c>
      <c r="E29" s="784">
        <f>100334+38489+26700+5330</f>
        <v>170853</v>
      </c>
      <c r="F29" s="784">
        <v>0</v>
      </c>
      <c r="G29" s="784">
        <v>0</v>
      </c>
      <c r="H29" s="784">
        <f t="shared" si="6"/>
        <v>2097595</v>
      </c>
      <c r="I29" s="784">
        <f t="shared" si="7"/>
        <v>2097595</v>
      </c>
      <c r="J29" s="784">
        <f>90684+16299+21780+4361</f>
        <v>133124</v>
      </c>
      <c r="K29" s="784">
        <v>0</v>
      </c>
      <c r="L29" s="785">
        <v>0</v>
      </c>
      <c r="M29" s="785">
        <f>1936392+20390+1800+10250-4361</f>
        <v>1964471</v>
      </c>
      <c r="N29" s="785"/>
      <c r="O29" s="786"/>
      <c r="P29" s="786"/>
      <c r="Q29" s="786"/>
      <c r="R29" s="786">
        <v>0</v>
      </c>
      <c r="S29" s="789">
        <f t="shared" si="3"/>
        <v>1964471</v>
      </c>
      <c r="T29" s="783">
        <f t="shared" si="4"/>
        <v>6.346506356088759</v>
      </c>
      <c r="U29" s="821">
        <f t="shared" si="2"/>
        <v>0</v>
      </c>
    </row>
    <row r="30" spans="1:21" s="715" customFormat="1" ht="24.75" customHeight="1">
      <c r="A30" s="848" t="s">
        <v>809</v>
      </c>
      <c r="B30" s="848" t="s">
        <v>779</v>
      </c>
      <c r="C30" s="784">
        <f t="shared" si="5"/>
        <v>469359</v>
      </c>
      <c r="D30" s="792">
        <v>254826</v>
      </c>
      <c r="E30" s="784">
        <f>108670+32750+42449+30664</f>
        <v>214533</v>
      </c>
      <c r="F30" s="784">
        <f>25400+28766</f>
        <v>54166</v>
      </c>
      <c r="G30" s="784"/>
      <c r="H30" s="784">
        <f t="shared" si="6"/>
        <v>415193</v>
      </c>
      <c r="I30" s="784">
        <f t="shared" si="7"/>
        <v>182667</v>
      </c>
      <c r="J30" s="784">
        <f>32750+58470+30664+13683</f>
        <v>135567</v>
      </c>
      <c r="K30" s="784">
        <v>0</v>
      </c>
      <c r="L30" s="785"/>
      <c r="M30" s="785">
        <f>22300+24800</f>
        <v>47100</v>
      </c>
      <c r="N30" s="785"/>
      <c r="O30" s="786"/>
      <c r="P30" s="786"/>
      <c r="Q30" s="786"/>
      <c r="R30" s="786">
        <v>232526</v>
      </c>
      <c r="S30" s="789">
        <f t="shared" si="3"/>
        <v>279626</v>
      </c>
      <c r="T30" s="783">
        <f t="shared" si="4"/>
        <v>74.21537551938773</v>
      </c>
      <c r="U30" s="821">
        <f t="shared" si="2"/>
        <v>0</v>
      </c>
    </row>
    <row r="31" spans="1:21" s="715" customFormat="1" ht="24.75" customHeight="1">
      <c r="A31" s="848" t="s">
        <v>810</v>
      </c>
      <c r="B31" s="848" t="s">
        <v>811</v>
      </c>
      <c r="C31" s="784">
        <f t="shared" si="5"/>
        <v>390673</v>
      </c>
      <c r="D31" s="792">
        <v>0</v>
      </c>
      <c r="E31" s="784">
        <v>390673</v>
      </c>
      <c r="F31" s="784">
        <v>0</v>
      </c>
      <c r="G31" s="784"/>
      <c r="H31" s="784">
        <f t="shared" si="6"/>
        <v>390673</v>
      </c>
      <c r="I31" s="784">
        <f t="shared" si="7"/>
        <v>390673</v>
      </c>
      <c r="J31" s="784">
        <v>0</v>
      </c>
      <c r="K31" s="784">
        <v>0</v>
      </c>
      <c r="L31" s="793"/>
      <c r="M31" s="785">
        <v>390673</v>
      </c>
      <c r="N31" s="785"/>
      <c r="O31" s="786"/>
      <c r="P31" s="794"/>
      <c r="Q31" s="786"/>
      <c r="R31" s="786">
        <v>0</v>
      </c>
      <c r="S31" s="789">
        <f t="shared" si="3"/>
        <v>390673</v>
      </c>
      <c r="T31" s="783">
        <f t="shared" si="4"/>
        <v>0</v>
      </c>
      <c r="U31" s="821">
        <f t="shared" si="2"/>
        <v>0</v>
      </c>
    </row>
    <row r="32" spans="1:21" s="822" customFormat="1" ht="24.75" customHeight="1">
      <c r="A32" s="907" t="s">
        <v>1</v>
      </c>
      <c r="B32" s="909" t="s">
        <v>680</v>
      </c>
      <c r="C32" s="823">
        <f>C33+C40+C44+C47+C49+C57+C63+C72+C76+C80+C90+C94+C98+C109+C114</f>
        <v>3564813728</v>
      </c>
      <c r="D32" s="823">
        <f aca="true" t="shared" si="8" ref="D32:R32">D33+D40+D44+D47+D49+D57+D63+D72+D76+D80+D90+D94+D98+D109+D114</f>
        <v>2339520268</v>
      </c>
      <c r="E32" s="823">
        <f t="shared" si="8"/>
        <v>1225293460</v>
      </c>
      <c r="F32" s="823">
        <f t="shared" si="8"/>
        <v>4649854</v>
      </c>
      <c r="G32" s="823">
        <f t="shared" si="8"/>
        <v>9109528</v>
      </c>
      <c r="H32" s="823">
        <f t="shared" si="8"/>
        <v>3560163874</v>
      </c>
      <c r="I32" s="823">
        <f t="shared" si="8"/>
        <v>2389563456</v>
      </c>
      <c r="J32" s="823">
        <f t="shared" si="8"/>
        <v>72230305</v>
      </c>
      <c r="K32" s="823">
        <f t="shared" si="8"/>
        <v>9093094</v>
      </c>
      <c r="L32" s="823">
        <f t="shared" si="8"/>
        <v>5306</v>
      </c>
      <c r="M32" s="823">
        <f t="shared" si="8"/>
        <v>2303133256</v>
      </c>
      <c r="N32" s="823">
        <f t="shared" si="8"/>
        <v>1892615</v>
      </c>
      <c r="O32" s="823">
        <f t="shared" si="8"/>
        <v>9102</v>
      </c>
      <c r="P32" s="823">
        <f t="shared" si="8"/>
        <v>0</v>
      </c>
      <c r="Q32" s="823">
        <f t="shared" si="8"/>
        <v>3199778</v>
      </c>
      <c r="R32" s="823">
        <f t="shared" si="8"/>
        <v>1170600418</v>
      </c>
      <c r="S32" s="823">
        <f>SUM(M32:R32)</f>
        <v>3478835169</v>
      </c>
      <c r="T32" s="820">
        <f>(J32+K32+L32)/I32*100</f>
        <v>3.4034963497533504</v>
      </c>
      <c r="U32" s="821">
        <f t="shared" si="2"/>
        <v>0</v>
      </c>
    </row>
    <row r="33" spans="1:21" s="822" customFormat="1" ht="24.75" customHeight="1">
      <c r="A33" s="907">
        <v>1</v>
      </c>
      <c r="B33" s="910" t="s">
        <v>681</v>
      </c>
      <c r="C33" s="823">
        <f>SUM(C34:C39)</f>
        <v>925041630</v>
      </c>
      <c r="D33" s="823">
        <f aca="true" t="shared" si="9" ref="D33:S33">SUM(D34:D39)</f>
        <v>323063545</v>
      </c>
      <c r="E33" s="823">
        <f t="shared" si="9"/>
        <v>601978085</v>
      </c>
      <c r="F33" s="823">
        <f t="shared" si="9"/>
        <v>0</v>
      </c>
      <c r="G33" s="823">
        <f t="shared" si="9"/>
        <v>0</v>
      </c>
      <c r="H33" s="823">
        <f t="shared" si="9"/>
        <v>925041630</v>
      </c>
      <c r="I33" s="823">
        <f t="shared" si="9"/>
        <v>843400256</v>
      </c>
      <c r="J33" s="823">
        <f t="shared" si="9"/>
        <v>10986616</v>
      </c>
      <c r="K33" s="823">
        <f t="shared" si="9"/>
        <v>299244</v>
      </c>
      <c r="L33" s="823">
        <f t="shared" si="9"/>
        <v>0</v>
      </c>
      <c r="M33" s="823">
        <f t="shared" si="9"/>
        <v>831602971</v>
      </c>
      <c r="N33" s="823">
        <f t="shared" si="9"/>
        <v>511425</v>
      </c>
      <c r="O33" s="823">
        <f t="shared" si="9"/>
        <v>0</v>
      </c>
      <c r="P33" s="823">
        <f t="shared" si="9"/>
        <v>0</v>
      </c>
      <c r="Q33" s="823">
        <f t="shared" si="9"/>
        <v>0</v>
      </c>
      <c r="R33" s="823">
        <f t="shared" si="9"/>
        <v>81641374</v>
      </c>
      <c r="S33" s="823">
        <f t="shared" si="9"/>
        <v>898945287</v>
      </c>
      <c r="T33" s="820">
        <f aca="true" t="shared" si="10" ref="T33:T100">(J33+K33+L33)/I33*100</f>
        <v>1.3381380809066294</v>
      </c>
      <c r="U33" s="821">
        <f t="shared" si="2"/>
        <v>0</v>
      </c>
    </row>
    <row r="34" spans="1:21" ht="24.75" customHeight="1">
      <c r="A34" s="849">
        <v>1.1</v>
      </c>
      <c r="B34" s="850" t="s">
        <v>812</v>
      </c>
      <c r="C34" s="784">
        <f>SUM(E34+D34)</f>
        <v>124253243</v>
      </c>
      <c r="D34" s="784">
        <v>121768155</v>
      </c>
      <c r="E34" s="784">
        <v>2485088</v>
      </c>
      <c r="F34" s="784">
        <v>0</v>
      </c>
      <c r="G34" s="784">
        <v>0</v>
      </c>
      <c r="H34" s="784">
        <f>SUM(I34+R34)</f>
        <v>124253243</v>
      </c>
      <c r="I34" s="784">
        <f>SUM(J34+K34+L34+M34+N34+O34+P34+Q34)</f>
        <v>120583526</v>
      </c>
      <c r="J34" s="784">
        <v>72728</v>
      </c>
      <c r="K34" s="784">
        <v>0</v>
      </c>
      <c r="L34" s="784">
        <v>0</v>
      </c>
      <c r="M34" s="784">
        <v>120510798</v>
      </c>
      <c r="N34" s="784">
        <v>0</v>
      </c>
      <c r="O34" s="784">
        <v>0</v>
      </c>
      <c r="P34" s="784">
        <v>0</v>
      </c>
      <c r="Q34" s="784">
        <v>0</v>
      </c>
      <c r="R34" s="784">
        <v>3669717</v>
      </c>
      <c r="S34" s="789">
        <f aca="true" t="shared" si="11" ref="S34:S100">SUM(M34:R34)</f>
        <v>124180515</v>
      </c>
      <c r="T34" s="783">
        <f t="shared" si="10"/>
        <v>0.06031337978954107</v>
      </c>
      <c r="U34" s="821">
        <f t="shared" si="2"/>
        <v>0</v>
      </c>
    </row>
    <row r="35" spans="1:21" ht="24.75" customHeight="1">
      <c r="A35" s="849">
        <v>1.2</v>
      </c>
      <c r="B35" s="850" t="s">
        <v>780</v>
      </c>
      <c r="C35" s="784">
        <f>SUM(E35+D35)</f>
        <v>705540911</v>
      </c>
      <c r="D35" s="784">
        <v>116075091</v>
      </c>
      <c r="E35" s="784">
        <v>589465820</v>
      </c>
      <c r="F35" s="784">
        <v>0</v>
      </c>
      <c r="G35" s="784"/>
      <c r="H35" s="784">
        <f>SUM(I35+R35)</f>
        <v>705540911</v>
      </c>
      <c r="I35" s="784">
        <f>SUM(J35+K35+L35+M35+N35+O35+P35+Q35)</f>
        <v>660688444</v>
      </c>
      <c r="J35" s="784">
        <v>6806535</v>
      </c>
      <c r="K35" s="784">
        <v>294344</v>
      </c>
      <c r="L35" s="784">
        <v>0</v>
      </c>
      <c r="M35" s="784">
        <v>653076140</v>
      </c>
      <c r="N35" s="784">
        <v>511425</v>
      </c>
      <c r="O35" s="784"/>
      <c r="P35" s="784"/>
      <c r="Q35" s="784">
        <v>0</v>
      </c>
      <c r="R35" s="784">
        <v>44852467</v>
      </c>
      <c r="S35" s="789">
        <f t="shared" si="11"/>
        <v>698440032</v>
      </c>
      <c r="T35" s="783">
        <f t="shared" si="10"/>
        <v>1.0747696685913277</v>
      </c>
      <c r="U35" s="821">
        <f t="shared" si="2"/>
        <v>0</v>
      </c>
    </row>
    <row r="36" spans="1:21" ht="24.75" customHeight="1">
      <c r="A36" s="849">
        <v>1.3</v>
      </c>
      <c r="B36" s="850" t="s">
        <v>682</v>
      </c>
      <c r="C36" s="784">
        <f>SUM(E36+D36)</f>
        <v>11989060</v>
      </c>
      <c r="D36" s="784">
        <v>10861939</v>
      </c>
      <c r="E36" s="784">
        <v>1127121</v>
      </c>
      <c r="F36" s="784">
        <v>0</v>
      </c>
      <c r="G36" s="784"/>
      <c r="H36" s="784">
        <f>SUM(I36+R36)</f>
        <v>11989060</v>
      </c>
      <c r="I36" s="784">
        <f>SUM(J36+K36+L36+M36+N36+O36+P36+Q36)</f>
        <v>11276057</v>
      </c>
      <c r="J36" s="784">
        <v>60884</v>
      </c>
      <c r="K36" s="784">
        <v>0</v>
      </c>
      <c r="L36" s="784">
        <v>0</v>
      </c>
      <c r="M36" s="784">
        <v>11215173</v>
      </c>
      <c r="N36" s="784">
        <v>0</v>
      </c>
      <c r="O36" s="784"/>
      <c r="P36" s="784"/>
      <c r="Q36" s="784"/>
      <c r="R36" s="784">
        <v>713003</v>
      </c>
      <c r="S36" s="789">
        <f t="shared" si="11"/>
        <v>11928176</v>
      </c>
      <c r="T36" s="783">
        <f t="shared" si="10"/>
        <v>0.5399405128938245</v>
      </c>
      <c r="U36" s="821">
        <f t="shared" si="2"/>
        <v>0</v>
      </c>
    </row>
    <row r="37" spans="1:21" ht="24.75" customHeight="1">
      <c r="A37" s="849">
        <v>1.4</v>
      </c>
      <c r="B37" s="850" t="s">
        <v>781</v>
      </c>
      <c r="C37" s="784">
        <f>SUM(E37+D37)</f>
        <v>23912974</v>
      </c>
      <c r="D37" s="784">
        <v>16150146</v>
      </c>
      <c r="E37" s="784">
        <v>7762828</v>
      </c>
      <c r="F37" s="784">
        <v>0</v>
      </c>
      <c r="G37" s="784"/>
      <c r="H37" s="784">
        <f>SUM(I37+R37)</f>
        <v>23912974</v>
      </c>
      <c r="I37" s="784">
        <f>SUM(J37+K37+L37+M37+N37+O37+P37+Q37)</f>
        <v>10523854</v>
      </c>
      <c r="J37" s="784">
        <v>287645</v>
      </c>
      <c r="K37" s="784">
        <v>0</v>
      </c>
      <c r="L37" s="784">
        <v>0</v>
      </c>
      <c r="M37" s="784">
        <v>10236209</v>
      </c>
      <c r="N37" s="784">
        <v>0</v>
      </c>
      <c r="O37" s="784"/>
      <c r="P37" s="784"/>
      <c r="Q37" s="784"/>
      <c r="R37" s="784">
        <v>13389120</v>
      </c>
      <c r="S37" s="789">
        <f t="shared" si="11"/>
        <v>23625329</v>
      </c>
      <c r="T37" s="783">
        <f t="shared" si="10"/>
        <v>2.7332667290899324</v>
      </c>
      <c r="U37" s="821">
        <f t="shared" si="2"/>
        <v>0</v>
      </c>
    </row>
    <row r="38" spans="1:21" s="715" customFormat="1" ht="24.75" customHeight="1">
      <c r="A38" s="849">
        <v>1.5</v>
      </c>
      <c r="B38" s="850" t="s">
        <v>803</v>
      </c>
      <c r="C38" s="784">
        <f>SUM(E38+D38)</f>
        <v>44468094</v>
      </c>
      <c r="D38" s="784">
        <v>43576022</v>
      </c>
      <c r="E38" s="784">
        <v>892072</v>
      </c>
      <c r="F38" s="784">
        <v>0</v>
      </c>
      <c r="G38" s="784"/>
      <c r="H38" s="784">
        <f>SUM(I38+R38)</f>
        <v>44468094</v>
      </c>
      <c r="I38" s="784">
        <f>SUM(J38+K38+L38+M38+N38+O38+P38+Q38)</f>
        <v>26983481</v>
      </c>
      <c r="J38" s="784">
        <v>3694509</v>
      </c>
      <c r="K38" s="784">
        <v>2350</v>
      </c>
      <c r="L38" s="784">
        <v>0</v>
      </c>
      <c r="M38" s="784">
        <v>23286622</v>
      </c>
      <c r="N38" s="784">
        <v>0</v>
      </c>
      <c r="O38" s="784"/>
      <c r="P38" s="784"/>
      <c r="Q38" s="784"/>
      <c r="R38" s="784">
        <v>17484613</v>
      </c>
      <c r="S38" s="789">
        <f t="shared" si="11"/>
        <v>40771235</v>
      </c>
      <c r="T38" s="783">
        <f t="shared" si="10"/>
        <v>13.700452510185768</v>
      </c>
      <c r="U38" s="821">
        <f t="shared" si="2"/>
        <v>0</v>
      </c>
    </row>
    <row r="39" spans="1:21" s="715" customFormat="1" ht="24.75" customHeight="1">
      <c r="A39" s="849">
        <v>1.6</v>
      </c>
      <c r="B39" s="850" t="s">
        <v>813</v>
      </c>
      <c r="C39" s="784">
        <v>14877348</v>
      </c>
      <c r="D39" s="784">
        <v>14632192</v>
      </c>
      <c r="E39" s="784">
        <v>245156</v>
      </c>
      <c r="F39" s="784"/>
      <c r="G39" s="784"/>
      <c r="H39" s="784">
        <v>14877348</v>
      </c>
      <c r="I39" s="784">
        <v>13344894</v>
      </c>
      <c r="J39" s="784">
        <v>64315</v>
      </c>
      <c r="K39" s="784">
        <v>2550</v>
      </c>
      <c r="L39" s="784"/>
      <c r="M39" s="784">
        <v>13278029</v>
      </c>
      <c r="N39" s="784"/>
      <c r="O39" s="784"/>
      <c r="P39" s="784"/>
      <c r="Q39" s="784"/>
      <c r="R39" s="784">
        <v>1532454</v>
      </c>
      <c r="S39" s="789"/>
      <c r="T39" s="783"/>
      <c r="U39" s="821">
        <f t="shared" si="2"/>
        <v>0</v>
      </c>
    </row>
    <row r="40" spans="1:21" s="822" customFormat="1" ht="24.75" customHeight="1">
      <c r="A40" s="907">
        <v>2</v>
      </c>
      <c r="B40" s="910" t="s">
        <v>683</v>
      </c>
      <c r="C40" s="823">
        <f>SUM(C41:C43)</f>
        <v>64478713</v>
      </c>
      <c r="D40" s="823">
        <f aca="true" t="shared" si="12" ref="D40:R40">SUM(D41:D43)</f>
        <v>57165074</v>
      </c>
      <c r="E40" s="823">
        <f t="shared" si="12"/>
        <v>7313639</v>
      </c>
      <c r="F40" s="823">
        <f t="shared" si="12"/>
        <v>726424</v>
      </c>
      <c r="G40" s="823">
        <f t="shared" si="12"/>
        <v>0</v>
      </c>
      <c r="H40" s="823">
        <f t="shared" si="12"/>
        <v>63752289</v>
      </c>
      <c r="I40" s="823">
        <f t="shared" si="12"/>
        <v>21804979</v>
      </c>
      <c r="J40" s="823">
        <f t="shared" si="12"/>
        <v>1547781</v>
      </c>
      <c r="K40" s="823">
        <f t="shared" si="12"/>
        <v>42677</v>
      </c>
      <c r="L40" s="823">
        <f t="shared" si="12"/>
        <v>5306</v>
      </c>
      <c r="M40" s="823">
        <f t="shared" si="12"/>
        <v>19687375</v>
      </c>
      <c r="N40" s="823">
        <f t="shared" si="12"/>
        <v>0</v>
      </c>
      <c r="O40" s="823">
        <f t="shared" si="12"/>
        <v>0</v>
      </c>
      <c r="P40" s="823">
        <f t="shared" si="12"/>
        <v>0</v>
      </c>
      <c r="Q40" s="823">
        <f t="shared" si="12"/>
        <v>521840</v>
      </c>
      <c r="R40" s="823">
        <f t="shared" si="12"/>
        <v>41947310</v>
      </c>
      <c r="S40" s="823">
        <f t="shared" si="11"/>
        <v>62156525</v>
      </c>
      <c r="T40" s="820">
        <f t="shared" si="10"/>
        <v>7.318346878481287</v>
      </c>
      <c r="U40" s="821">
        <f t="shared" si="2"/>
        <v>0</v>
      </c>
    </row>
    <row r="41" spans="1:21" ht="24.75" customHeight="1">
      <c r="A41" s="849">
        <v>2.1</v>
      </c>
      <c r="B41" s="851" t="s">
        <v>684</v>
      </c>
      <c r="C41" s="795">
        <f>D41+E41</f>
        <v>579234</v>
      </c>
      <c r="D41" s="795">
        <v>339640</v>
      </c>
      <c r="E41" s="795">
        <v>239594</v>
      </c>
      <c r="F41" s="795">
        <f>C41-H41</f>
        <v>0</v>
      </c>
      <c r="G41" s="795"/>
      <c r="H41" s="795">
        <f>I41+R41</f>
        <v>579234</v>
      </c>
      <c r="I41" s="795">
        <f>J41+K41+L41+M41+N41+O41+P41+Q41</f>
        <v>397853</v>
      </c>
      <c r="J41" s="795">
        <v>244415</v>
      </c>
      <c r="K41" s="795">
        <v>0</v>
      </c>
      <c r="L41" s="795">
        <v>0</v>
      </c>
      <c r="M41" s="795">
        <v>153438</v>
      </c>
      <c r="N41" s="795"/>
      <c r="O41" s="795"/>
      <c r="P41" s="795"/>
      <c r="Q41" s="796"/>
      <c r="R41" s="797">
        <v>181381</v>
      </c>
      <c r="S41" s="789">
        <f t="shared" si="11"/>
        <v>334819</v>
      </c>
      <c r="T41" s="783">
        <f t="shared" si="10"/>
        <v>61.43349428055086</v>
      </c>
      <c r="U41" s="821">
        <f t="shared" si="2"/>
        <v>0</v>
      </c>
    </row>
    <row r="42" spans="1:21" ht="24.75" customHeight="1">
      <c r="A42" s="849">
        <v>2.2</v>
      </c>
      <c r="B42" s="851" t="s">
        <v>685</v>
      </c>
      <c r="C42" s="795">
        <f>D42+E42</f>
        <v>11742977</v>
      </c>
      <c r="D42" s="795">
        <v>10300204</v>
      </c>
      <c r="E42" s="795">
        <v>1442773</v>
      </c>
      <c r="F42" s="795">
        <f>C42-H42</f>
        <v>726424</v>
      </c>
      <c r="G42" s="795"/>
      <c r="H42" s="795">
        <f>I42+R42</f>
        <v>11016553</v>
      </c>
      <c r="I42" s="795">
        <f>J42+K42+L42+M42+N42+O42+P42+Q42</f>
        <v>8824933</v>
      </c>
      <c r="J42" s="795">
        <v>770018</v>
      </c>
      <c r="K42" s="795">
        <v>3130</v>
      </c>
      <c r="L42" s="795">
        <v>5306</v>
      </c>
      <c r="M42" s="795">
        <v>8046479</v>
      </c>
      <c r="N42" s="795"/>
      <c r="O42" s="795"/>
      <c r="P42" s="795"/>
      <c r="Q42" s="796">
        <v>0</v>
      </c>
      <c r="R42" s="797">
        <v>2191620</v>
      </c>
      <c r="S42" s="789">
        <f t="shared" si="11"/>
        <v>10238099</v>
      </c>
      <c r="T42" s="783">
        <f t="shared" si="10"/>
        <v>8.821075468788262</v>
      </c>
      <c r="U42" s="821">
        <f t="shared" si="2"/>
        <v>0</v>
      </c>
    </row>
    <row r="43" spans="1:21" s="715" customFormat="1" ht="24.75" customHeight="1">
      <c r="A43" s="849">
        <v>2.3</v>
      </c>
      <c r="B43" s="851" t="s">
        <v>686</v>
      </c>
      <c r="C43" s="795">
        <f>D43+E43</f>
        <v>52156502</v>
      </c>
      <c r="D43" s="795">
        <v>46525230</v>
      </c>
      <c r="E43" s="795">
        <v>5631272</v>
      </c>
      <c r="F43" s="795"/>
      <c r="G43" s="795"/>
      <c r="H43" s="795">
        <f>I43+R43</f>
        <v>52156502</v>
      </c>
      <c r="I43" s="795">
        <f>J43+K43+L43+M43+N43+O43+P43+Q43</f>
        <v>12582193</v>
      </c>
      <c r="J43" s="795">
        <v>533348</v>
      </c>
      <c r="K43" s="795">
        <v>39547</v>
      </c>
      <c r="L43" s="795">
        <v>0</v>
      </c>
      <c r="M43" s="795">
        <v>11487458</v>
      </c>
      <c r="N43" s="795"/>
      <c r="O43" s="795"/>
      <c r="P43" s="795"/>
      <c r="Q43" s="796">
        <v>521840</v>
      </c>
      <c r="R43" s="797">
        <v>39574309</v>
      </c>
      <c r="S43" s="789">
        <f t="shared" si="11"/>
        <v>51583607</v>
      </c>
      <c r="T43" s="783">
        <f t="shared" si="10"/>
        <v>4.553220571326477</v>
      </c>
      <c r="U43" s="821">
        <f t="shared" si="2"/>
        <v>0</v>
      </c>
    </row>
    <row r="44" spans="1:21" s="822" customFormat="1" ht="24.75" customHeight="1">
      <c r="A44" s="907">
        <v>3</v>
      </c>
      <c r="B44" s="910" t="s">
        <v>688</v>
      </c>
      <c r="C44" s="823">
        <f>C45+C46</f>
        <v>27985992</v>
      </c>
      <c r="D44" s="823">
        <f aca="true" t="shared" si="13" ref="D44:R44">D45+D46</f>
        <v>16282096</v>
      </c>
      <c r="E44" s="823">
        <f t="shared" si="13"/>
        <v>11703896</v>
      </c>
      <c r="F44" s="823">
        <f t="shared" si="13"/>
        <v>3950</v>
      </c>
      <c r="G44" s="823">
        <f t="shared" si="13"/>
        <v>0</v>
      </c>
      <c r="H44" s="823">
        <f t="shared" si="13"/>
        <v>27982042</v>
      </c>
      <c r="I44" s="823">
        <f t="shared" si="13"/>
        <v>25658370</v>
      </c>
      <c r="J44" s="823">
        <f t="shared" si="13"/>
        <v>46035</v>
      </c>
      <c r="K44" s="823">
        <f t="shared" si="13"/>
        <v>0</v>
      </c>
      <c r="L44" s="823">
        <f t="shared" si="13"/>
        <v>0</v>
      </c>
      <c r="M44" s="823">
        <f t="shared" si="13"/>
        <v>25539223</v>
      </c>
      <c r="N44" s="823">
        <f t="shared" si="13"/>
        <v>0</v>
      </c>
      <c r="O44" s="823">
        <f t="shared" si="13"/>
        <v>0</v>
      </c>
      <c r="P44" s="823">
        <f t="shared" si="13"/>
        <v>0</v>
      </c>
      <c r="Q44" s="823">
        <f t="shared" si="13"/>
        <v>73112</v>
      </c>
      <c r="R44" s="823">
        <f t="shared" si="13"/>
        <v>2323672</v>
      </c>
      <c r="S44" s="823">
        <f t="shared" si="11"/>
        <v>27936007</v>
      </c>
      <c r="T44" s="820">
        <f t="shared" si="10"/>
        <v>0.17941513821805516</v>
      </c>
      <c r="U44" s="821">
        <f t="shared" si="2"/>
        <v>0</v>
      </c>
    </row>
    <row r="45" spans="1:21" ht="24.75" customHeight="1">
      <c r="A45" s="849">
        <v>3.1</v>
      </c>
      <c r="B45" s="852" t="s">
        <v>689</v>
      </c>
      <c r="C45" s="798">
        <f>D45+E45</f>
        <v>22304670</v>
      </c>
      <c r="D45" s="798">
        <v>10693791</v>
      </c>
      <c r="E45" s="798">
        <v>11610879</v>
      </c>
      <c r="F45" s="798">
        <v>3950</v>
      </c>
      <c r="G45" s="798"/>
      <c r="H45" s="798">
        <f>I45+R45</f>
        <v>22300720</v>
      </c>
      <c r="I45" s="798">
        <f>SUM(J45:Q45)</f>
        <v>22017599</v>
      </c>
      <c r="J45" s="798">
        <v>19635</v>
      </c>
      <c r="K45" s="798">
        <v>0</v>
      </c>
      <c r="L45" s="798"/>
      <c r="M45" s="798">
        <v>21924852</v>
      </c>
      <c r="N45" s="798"/>
      <c r="O45" s="798">
        <v>0</v>
      </c>
      <c r="P45" s="798"/>
      <c r="Q45" s="798">
        <v>73112</v>
      </c>
      <c r="R45" s="799">
        <v>283121</v>
      </c>
      <c r="S45" s="789">
        <f t="shared" si="11"/>
        <v>22281085</v>
      </c>
      <c r="T45" s="783">
        <f t="shared" si="10"/>
        <v>0.08917866112467576</v>
      </c>
      <c r="U45" s="821">
        <f t="shared" si="2"/>
        <v>0</v>
      </c>
    </row>
    <row r="46" spans="1:21" ht="24.75" customHeight="1">
      <c r="A46" s="849">
        <v>3.2</v>
      </c>
      <c r="B46" s="852" t="s">
        <v>690</v>
      </c>
      <c r="C46" s="798">
        <f>D46+E46</f>
        <v>5681322</v>
      </c>
      <c r="D46" s="798">
        <v>5588305</v>
      </c>
      <c r="E46" s="798">
        <v>93017</v>
      </c>
      <c r="F46" s="798">
        <v>0</v>
      </c>
      <c r="G46" s="798"/>
      <c r="H46" s="798">
        <f>I46+R46</f>
        <v>5681322</v>
      </c>
      <c r="I46" s="798">
        <f>SUM(J46:Q46)</f>
        <v>3640771</v>
      </c>
      <c r="J46" s="798">
        <v>26400</v>
      </c>
      <c r="K46" s="798">
        <v>0</v>
      </c>
      <c r="L46" s="798">
        <v>0</v>
      </c>
      <c r="M46" s="798">
        <v>3614371</v>
      </c>
      <c r="N46" s="798">
        <v>0</v>
      </c>
      <c r="O46" s="798">
        <v>0</v>
      </c>
      <c r="P46" s="798">
        <v>0</v>
      </c>
      <c r="Q46" s="798">
        <v>0</v>
      </c>
      <c r="R46" s="799">
        <v>2040551</v>
      </c>
      <c r="S46" s="789">
        <f t="shared" si="11"/>
        <v>5654922</v>
      </c>
      <c r="T46" s="783">
        <f t="shared" si="10"/>
        <v>0.7251211350562834</v>
      </c>
      <c r="U46" s="821">
        <f t="shared" si="2"/>
        <v>0</v>
      </c>
    </row>
    <row r="47" spans="1:21" s="822" customFormat="1" ht="24.75" customHeight="1">
      <c r="A47" s="907">
        <v>4</v>
      </c>
      <c r="B47" s="910" t="s">
        <v>691</v>
      </c>
      <c r="C47" s="823">
        <f>C48</f>
        <v>0</v>
      </c>
      <c r="D47" s="823">
        <f aca="true" t="shared" si="14" ref="D47:R47">D48</f>
        <v>0</v>
      </c>
      <c r="E47" s="823">
        <f t="shared" si="14"/>
        <v>0</v>
      </c>
      <c r="F47" s="823">
        <f t="shared" si="14"/>
        <v>0</v>
      </c>
      <c r="G47" s="823">
        <f t="shared" si="14"/>
        <v>0</v>
      </c>
      <c r="H47" s="823">
        <f t="shared" si="14"/>
        <v>0</v>
      </c>
      <c r="I47" s="823">
        <f t="shared" si="14"/>
        <v>0</v>
      </c>
      <c r="J47" s="823">
        <f t="shared" si="14"/>
        <v>0</v>
      </c>
      <c r="K47" s="823">
        <f t="shared" si="14"/>
        <v>0</v>
      </c>
      <c r="L47" s="823">
        <f t="shared" si="14"/>
        <v>0</v>
      </c>
      <c r="M47" s="823">
        <f t="shared" si="14"/>
        <v>0</v>
      </c>
      <c r="N47" s="823">
        <f t="shared" si="14"/>
        <v>0</v>
      </c>
      <c r="O47" s="823">
        <f t="shared" si="14"/>
        <v>0</v>
      </c>
      <c r="P47" s="823">
        <f t="shared" si="14"/>
        <v>0</v>
      </c>
      <c r="Q47" s="823">
        <f t="shared" si="14"/>
        <v>0</v>
      </c>
      <c r="R47" s="823">
        <f t="shared" si="14"/>
        <v>0</v>
      </c>
      <c r="S47" s="823">
        <f t="shared" si="11"/>
        <v>0</v>
      </c>
      <c r="T47" s="820" t="e">
        <f t="shared" si="10"/>
        <v>#DIV/0!</v>
      </c>
      <c r="U47" s="821">
        <f t="shared" si="2"/>
        <v>0</v>
      </c>
    </row>
    <row r="48" spans="1:21" s="715" customFormat="1" ht="24.75" customHeight="1">
      <c r="A48" s="849" t="s">
        <v>167</v>
      </c>
      <c r="B48" s="853" t="s">
        <v>692</v>
      </c>
      <c r="C48" s="789"/>
      <c r="D48" s="789"/>
      <c r="E48" s="789"/>
      <c r="F48" s="789"/>
      <c r="G48" s="789"/>
      <c r="H48" s="789"/>
      <c r="I48" s="789"/>
      <c r="J48" s="789"/>
      <c r="K48" s="789"/>
      <c r="L48" s="800"/>
      <c r="M48" s="800"/>
      <c r="N48" s="800"/>
      <c r="O48" s="801"/>
      <c r="P48" s="801"/>
      <c r="Q48" s="801"/>
      <c r="R48" s="801"/>
      <c r="S48" s="789">
        <f t="shared" si="11"/>
        <v>0</v>
      </c>
      <c r="T48" s="783" t="e">
        <f t="shared" si="10"/>
        <v>#DIV/0!</v>
      </c>
      <c r="U48" s="821">
        <f t="shared" si="2"/>
        <v>0</v>
      </c>
    </row>
    <row r="49" spans="1:21" s="822" customFormat="1" ht="24.75" customHeight="1">
      <c r="A49" s="907">
        <v>5</v>
      </c>
      <c r="B49" s="910" t="s">
        <v>693</v>
      </c>
      <c r="C49" s="823">
        <f>SUM(C50:C56)</f>
        <v>500766575</v>
      </c>
      <c r="D49" s="823">
        <f aca="true" t="shared" si="15" ref="D49:R49">SUM(D50:D56)</f>
        <v>488927313</v>
      </c>
      <c r="E49" s="823">
        <f t="shared" si="15"/>
        <v>11839262</v>
      </c>
      <c r="F49" s="823">
        <f t="shared" si="15"/>
        <v>129470</v>
      </c>
      <c r="G49" s="823">
        <f t="shared" si="15"/>
        <v>0</v>
      </c>
      <c r="H49" s="823">
        <f t="shared" si="15"/>
        <v>500637105</v>
      </c>
      <c r="I49" s="823">
        <f t="shared" si="15"/>
        <v>188163603</v>
      </c>
      <c r="J49" s="823">
        <f t="shared" si="15"/>
        <v>20733359</v>
      </c>
      <c r="K49" s="823">
        <f t="shared" si="15"/>
        <v>15621</v>
      </c>
      <c r="L49" s="823">
        <f t="shared" si="15"/>
        <v>0</v>
      </c>
      <c r="M49" s="823">
        <f t="shared" si="15"/>
        <v>167402623</v>
      </c>
      <c r="N49" s="823">
        <f t="shared" si="15"/>
        <v>0</v>
      </c>
      <c r="O49" s="823">
        <f t="shared" si="15"/>
        <v>0</v>
      </c>
      <c r="P49" s="823">
        <f t="shared" si="15"/>
        <v>0</v>
      </c>
      <c r="Q49" s="823">
        <f t="shared" si="15"/>
        <v>12000</v>
      </c>
      <c r="R49" s="823">
        <f t="shared" si="15"/>
        <v>312473502</v>
      </c>
      <c r="S49" s="823">
        <f t="shared" si="11"/>
        <v>479888125</v>
      </c>
      <c r="T49" s="820">
        <f t="shared" si="10"/>
        <v>11.027095394213939</v>
      </c>
      <c r="U49" s="821">
        <f t="shared" si="2"/>
        <v>0</v>
      </c>
    </row>
    <row r="50" spans="1:21" s="715" customFormat="1" ht="24.75" customHeight="1">
      <c r="A50" s="854" t="s">
        <v>177</v>
      </c>
      <c r="B50" s="855" t="s">
        <v>694</v>
      </c>
      <c r="C50" s="802">
        <v>1312253</v>
      </c>
      <c r="D50" s="818">
        <v>1308403</v>
      </c>
      <c r="E50" s="802">
        <v>3850</v>
      </c>
      <c r="F50" s="802">
        <v>0</v>
      </c>
      <c r="G50" s="802">
        <v>0</v>
      </c>
      <c r="H50" s="802">
        <v>1312253</v>
      </c>
      <c r="I50" s="802">
        <v>67770</v>
      </c>
      <c r="J50" s="802">
        <v>3650</v>
      </c>
      <c r="K50" s="802">
        <v>0</v>
      </c>
      <c r="L50" s="802">
        <v>0</v>
      </c>
      <c r="M50" s="819">
        <v>64120</v>
      </c>
      <c r="N50" s="802">
        <v>0</v>
      </c>
      <c r="O50" s="802">
        <v>0</v>
      </c>
      <c r="P50" s="802">
        <v>0</v>
      </c>
      <c r="Q50" s="803">
        <v>0</v>
      </c>
      <c r="R50" s="803">
        <v>1244483</v>
      </c>
      <c r="S50" s="789">
        <f t="shared" si="11"/>
        <v>1308603</v>
      </c>
      <c r="T50" s="783">
        <f t="shared" si="10"/>
        <v>5.385863951601003</v>
      </c>
      <c r="U50" s="821">
        <f t="shared" si="2"/>
        <v>0</v>
      </c>
    </row>
    <row r="51" spans="1:21" s="715" customFormat="1" ht="24.75" customHeight="1">
      <c r="A51" s="854" t="s">
        <v>178</v>
      </c>
      <c r="B51" s="855" t="s">
        <v>695</v>
      </c>
      <c r="C51" s="802">
        <v>285096640</v>
      </c>
      <c r="D51" s="818">
        <v>284483551</v>
      </c>
      <c r="E51" s="802">
        <v>613089</v>
      </c>
      <c r="F51" s="802">
        <v>0</v>
      </c>
      <c r="G51" s="802">
        <v>0</v>
      </c>
      <c r="H51" s="802">
        <v>285096640</v>
      </c>
      <c r="I51" s="802">
        <v>51185476</v>
      </c>
      <c r="J51" s="802">
        <v>17632502</v>
      </c>
      <c r="K51" s="802">
        <v>0</v>
      </c>
      <c r="L51" s="802">
        <v>0</v>
      </c>
      <c r="M51" s="819">
        <v>33540974</v>
      </c>
      <c r="N51" s="802">
        <v>0</v>
      </c>
      <c r="O51" s="802">
        <v>0</v>
      </c>
      <c r="P51" s="802">
        <v>0</v>
      </c>
      <c r="Q51" s="803">
        <v>12000</v>
      </c>
      <c r="R51" s="803">
        <v>233911164</v>
      </c>
      <c r="S51" s="789">
        <f t="shared" si="11"/>
        <v>267464138</v>
      </c>
      <c r="T51" s="783">
        <f t="shared" si="10"/>
        <v>34.44825246911839</v>
      </c>
      <c r="U51" s="821">
        <f t="shared" si="2"/>
        <v>0</v>
      </c>
    </row>
    <row r="52" spans="1:21" ht="24.75" customHeight="1">
      <c r="A52" s="854" t="s">
        <v>179</v>
      </c>
      <c r="B52" s="855" t="s">
        <v>806</v>
      </c>
      <c r="C52" s="802">
        <v>49489461</v>
      </c>
      <c r="D52" s="818">
        <v>48387681</v>
      </c>
      <c r="E52" s="802">
        <v>1101780</v>
      </c>
      <c r="F52" s="802">
        <v>128870</v>
      </c>
      <c r="G52" s="802">
        <v>0</v>
      </c>
      <c r="H52" s="802">
        <v>49360591</v>
      </c>
      <c r="I52" s="802">
        <v>24882917</v>
      </c>
      <c r="J52" s="802">
        <v>72020</v>
      </c>
      <c r="K52" s="802">
        <v>10341</v>
      </c>
      <c r="L52" s="802">
        <v>0</v>
      </c>
      <c r="M52" s="819">
        <v>24800556</v>
      </c>
      <c r="N52" s="802">
        <v>0</v>
      </c>
      <c r="O52" s="802">
        <v>0</v>
      </c>
      <c r="P52" s="802">
        <v>0</v>
      </c>
      <c r="Q52" s="803">
        <v>0</v>
      </c>
      <c r="R52" s="803">
        <v>24477674</v>
      </c>
      <c r="S52" s="789">
        <f t="shared" si="11"/>
        <v>49278230</v>
      </c>
      <c r="T52" s="783">
        <f t="shared" si="10"/>
        <v>0.33099415152974226</v>
      </c>
      <c r="U52" s="821">
        <f t="shared" si="2"/>
        <v>0</v>
      </c>
    </row>
    <row r="53" spans="1:21" ht="24.75" customHeight="1">
      <c r="A53" s="854" t="s">
        <v>697</v>
      </c>
      <c r="B53" s="855" t="s">
        <v>698</v>
      </c>
      <c r="C53" s="802">
        <v>14673132</v>
      </c>
      <c r="D53" s="818">
        <v>14039043</v>
      </c>
      <c r="E53" s="802">
        <v>634089</v>
      </c>
      <c r="F53" s="802">
        <v>400</v>
      </c>
      <c r="G53" s="802">
        <v>0</v>
      </c>
      <c r="H53" s="802">
        <v>14672732</v>
      </c>
      <c r="I53" s="802">
        <v>4096186</v>
      </c>
      <c r="J53" s="802">
        <v>26825</v>
      </c>
      <c r="K53" s="802">
        <v>5280</v>
      </c>
      <c r="L53" s="802">
        <v>0</v>
      </c>
      <c r="M53" s="819">
        <v>4064081</v>
      </c>
      <c r="N53" s="802">
        <v>0</v>
      </c>
      <c r="O53" s="802">
        <v>0</v>
      </c>
      <c r="P53" s="802">
        <v>0</v>
      </c>
      <c r="Q53" s="803">
        <v>0</v>
      </c>
      <c r="R53" s="803">
        <v>10576546</v>
      </c>
      <c r="S53" s="789">
        <f t="shared" si="11"/>
        <v>14640627</v>
      </c>
      <c r="T53" s="783">
        <f t="shared" si="10"/>
        <v>0.7837778850862729</v>
      </c>
      <c r="U53" s="821">
        <f t="shared" si="2"/>
        <v>0</v>
      </c>
    </row>
    <row r="54" spans="1:21" ht="24.75" customHeight="1">
      <c r="A54" s="854" t="s">
        <v>699</v>
      </c>
      <c r="B54" s="855" t="s">
        <v>700</v>
      </c>
      <c r="C54" s="802">
        <v>49830971</v>
      </c>
      <c r="D54" s="818">
        <v>49789646</v>
      </c>
      <c r="E54" s="802">
        <v>41325</v>
      </c>
      <c r="F54" s="802">
        <v>0</v>
      </c>
      <c r="G54" s="802">
        <v>0</v>
      </c>
      <c r="H54" s="802">
        <v>49830971</v>
      </c>
      <c r="I54" s="802">
        <v>29200086</v>
      </c>
      <c r="J54" s="802">
        <v>17000</v>
      </c>
      <c r="K54" s="802">
        <v>0</v>
      </c>
      <c r="L54" s="802">
        <v>0</v>
      </c>
      <c r="M54" s="819">
        <v>29183086</v>
      </c>
      <c r="N54" s="802">
        <v>0</v>
      </c>
      <c r="O54" s="802">
        <v>0</v>
      </c>
      <c r="P54" s="802">
        <v>0</v>
      </c>
      <c r="Q54" s="803">
        <v>0</v>
      </c>
      <c r="R54" s="803">
        <v>20630885</v>
      </c>
      <c r="S54" s="789">
        <f t="shared" si="11"/>
        <v>49813971</v>
      </c>
      <c r="T54" s="783">
        <f t="shared" si="10"/>
        <v>0.05821900661525449</v>
      </c>
      <c r="U54" s="821">
        <f t="shared" si="2"/>
        <v>0</v>
      </c>
    </row>
    <row r="55" spans="1:21" ht="24.75" customHeight="1">
      <c r="A55" s="854" t="s">
        <v>701</v>
      </c>
      <c r="B55" s="855" t="s">
        <v>702</v>
      </c>
      <c r="C55" s="802">
        <v>54430931</v>
      </c>
      <c r="D55" s="818">
        <v>45323828</v>
      </c>
      <c r="E55" s="802">
        <v>9107103</v>
      </c>
      <c r="F55" s="802">
        <v>200</v>
      </c>
      <c r="G55" s="802">
        <v>0</v>
      </c>
      <c r="H55" s="802">
        <v>54430731</v>
      </c>
      <c r="I55" s="802">
        <v>44206407</v>
      </c>
      <c r="J55" s="802">
        <v>1639910</v>
      </c>
      <c r="K55" s="802">
        <v>0</v>
      </c>
      <c r="L55" s="802">
        <v>0</v>
      </c>
      <c r="M55" s="819">
        <v>42566497</v>
      </c>
      <c r="N55" s="802">
        <v>0</v>
      </c>
      <c r="O55" s="802">
        <v>0</v>
      </c>
      <c r="P55" s="802">
        <v>0</v>
      </c>
      <c r="Q55" s="803">
        <v>0</v>
      </c>
      <c r="R55" s="803">
        <v>10224324</v>
      </c>
      <c r="S55" s="789">
        <f t="shared" si="11"/>
        <v>52790821</v>
      </c>
      <c r="T55" s="783">
        <f t="shared" si="10"/>
        <v>3.7096658862141862</v>
      </c>
      <c r="U55" s="821">
        <f t="shared" si="2"/>
        <v>0</v>
      </c>
    </row>
    <row r="56" spans="1:21" ht="24.75" customHeight="1">
      <c r="A56" s="854" t="s">
        <v>703</v>
      </c>
      <c r="B56" s="855" t="s">
        <v>704</v>
      </c>
      <c r="C56" s="802">
        <v>45933187</v>
      </c>
      <c r="D56" s="818">
        <v>45595161</v>
      </c>
      <c r="E56" s="802">
        <v>338026</v>
      </c>
      <c r="F56" s="802">
        <v>0</v>
      </c>
      <c r="G56" s="802">
        <v>0</v>
      </c>
      <c r="H56" s="802">
        <v>45933187</v>
      </c>
      <c r="I56" s="802">
        <v>34524761</v>
      </c>
      <c r="J56" s="802">
        <v>1341452</v>
      </c>
      <c r="K56" s="802">
        <v>0</v>
      </c>
      <c r="L56" s="802">
        <v>0</v>
      </c>
      <c r="M56" s="819">
        <v>33183309</v>
      </c>
      <c r="N56" s="802">
        <v>0</v>
      </c>
      <c r="O56" s="802">
        <v>0</v>
      </c>
      <c r="P56" s="802">
        <v>0</v>
      </c>
      <c r="Q56" s="803">
        <v>0</v>
      </c>
      <c r="R56" s="803">
        <v>11408426</v>
      </c>
      <c r="S56" s="789">
        <f t="shared" si="11"/>
        <v>44591735</v>
      </c>
      <c r="T56" s="783">
        <f t="shared" si="10"/>
        <v>3.885478019674054</v>
      </c>
      <c r="U56" s="821">
        <f t="shared" si="2"/>
        <v>0</v>
      </c>
    </row>
    <row r="57" spans="1:21" s="822" customFormat="1" ht="24.75" customHeight="1">
      <c r="A57" s="907">
        <v>6</v>
      </c>
      <c r="B57" s="910" t="s">
        <v>705</v>
      </c>
      <c r="C57" s="823">
        <f>SUM(C58:C62)</f>
        <v>314300413</v>
      </c>
      <c r="D57" s="823">
        <f aca="true" t="shared" si="16" ref="D57:R57">SUM(D58:D62)</f>
        <v>121652883</v>
      </c>
      <c r="E57" s="823">
        <f t="shared" si="16"/>
        <v>192647530</v>
      </c>
      <c r="F57" s="823">
        <f t="shared" si="16"/>
        <v>82337</v>
      </c>
      <c r="G57" s="823">
        <f t="shared" si="16"/>
        <v>0</v>
      </c>
      <c r="H57" s="823">
        <f t="shared" si="16"/>
        <v>314218076</v>
      </c>
      <c r="I57" s="823">
        <f t="shared" si="16"/>
        <v>229141379</v>
      </c>
      <c r="J57" s="823">
        <f t="shared" si="16"/>
        <v>11423794</v>
      </c>
      <c r="K57" s="823">
        <f t="shared" si="16"/>
        <v>2568938</v>
      </c>
      <c r="L57" s="823">
        <f t="shared" si="16"/>
        <v>0</v>
      </c>
      <c r="M57" s="823">
        <f t="shared" si="16"/>
        <v>212467894</v>
      </c>
      <c r="N57" s="823">
        <f t="shared" si="16"/>
        <v>1131951</v>
      </c>
      <c r="O57" s="823">
        <f t="shared" si="16"/>
        <v>0</v>
      </c>
      <c r="P57" s="823">
        <f t="shared" si="16"/>
        <v>0</v>
      </c>
      <c r="Q57" s="823">
        <f t="shared" si="16"/>
        <v>1548802</v>
      </c>
      <c r="R57" s="823">
        <f t="shared" si="16"/>
        <v>85076697</v>
      </c>
      <c r="S57" s="823">
        <f t="shared" si="11"/>
        <v>300225344</v>
      </c>
      <c r="T57" s="820">
        <f t="shared" si="10"/>
        <v>6.106593257431692</v>
      </c>
      <c r="U57" s="821">
        <f t="shared" si="2"/>
        <v>0</v>
      </c>
    </row>
    <row r="58" spans="1:21" ht="24.75" customHeight="1">
      <c r="A58" s="849" t="s">
        <v>814</v>
      </c>
      <c r="B58" s="852" t="s">
        <v>706</v>
      </c>
      <c r="C58" s="804">
        <f>D58+E58</f>
        <v>58403935</v>
      </c>
      <c r="D58" s="804">
        <v>23493512</v>
      </c>
      <c r="E58" s="804">
        <v>34910423</v>
      </c>
      <c r="F58" s="804">
        <v>400</v>
      </c>
      <c r="G58" s="804"/>
      <c r="H58" s="804">
        <f>I58+R58</f>
        <v>58403535</v>
      </c>
      <c r="I58" s="804">
        <f>SUM(J58:Q58)</f>
        <v>49676928</v>
      </c>
      <c r="J58" s="804">
        <v>11088066</v>
      </c>
      <c r="K58" s="804">
        <v>2019596</v>
      </c>
      <c r="L58" s="804"/>
      <c r="M58" s="804">
        <v>35569266</v>
      </c>
      <c r="N58" s="804">
        <v>1000000</v>
      </c>
      <c r="O58" s="804"/>
      <c r="P58" s="804"/>
      <c r="Q58" s="804"/>
      <c r="R58" s="804">
        <v>8726607</v>
      </c>
      <c r="S58" s="789">
        <f t="shared" si="11"/>
        <v>45295873</v>
      </c>
      <c r="T58" s="783">
        <f t="shared" si="10"/>
        <v>26.385814356314462</v>
      </c>
      <c r="U58" s="821">
        <f t="shared" si="2"/>
        <v>0</v>
      </c>
    </row>
    <row r="59" spans="1:21" s="715" customFormat="1" ht="24.75" customHeight="1">
      <c r="A59" s="849" t="s">
        <v>815</v>
      </c>
      <c r="B59" s="852" t="s">
        <v>707</v>
      </c>
      <c r="C59" s="804">
        <f>D59+E59</f>
        <v>44900335</v>
      </c>
      <c r="D59" s="804">
        <v>981477</v>
      </c>
      <c r="E59" s="804">
        <v>43918858</v>
      </c>
      <c r="F59" s="804">
        <v>3900</v>
      </c>
      <c r="G59" s="804"/>
      <c r="H59" s="804">
        <f>I59+R59</f>
        <v>44896435</v>
      </c>
      <c r="I59" s="804">
        <f>SUM(J59:Q59)</f>
        <v>44125652</v>
      </c>
      <c r="J59" s="804">
        <v>55301</v>
      </c>
      <c r="K59" s="804">
        <v>1847</v>
      </c>
      <c r="L59" s="804"/>
      <c r="M59" s="804">
        <v>44068504</v>
      </c>
      <c r="N59" s="804"/>
      <c r="O59" s="804"/>
      <c r="P59" s="804"/>
      <c r="Q59" s="804"/>
      <c r="R59" s="804">
        <v>770783</v>
      </c>
      <c r="S59" s="789">
        <f t="shared" si="11"/>
        <v>44839287</v>
      </c>
      <c r="T59" s="783">
        <f t="shared" si="10"/>
        <v>0.12951196732458478</v>
      </c>
      <c r="U59" s="821">
        <f t="shared" si="2"/>
        <v>0</v>
      </c>
    </row>
    <row r="60" spans="1:21" s="715" customFormat="1" ht="24.75" customHeight="1">
      <c r="A60" s="849" t="s">
        <v>816</v>
      </c>
      <c r="B60" s="852" t="s">
        <v>708</v>
      </c>
      <c r="C60" s="804">
        <f>D60+E60</f>
        <v>93947333</v>
      </c>
      <c r="D60" s="804">
        <v>77199785</v>
      </c>
      <c r="E60" s="804">
        <v>16747548</v>
      </c>
      <c r="F60" s="804">
        <v>78037</v>
      </c>
      <c r="G60" s="804"/>
      <c r="H60" s="804">
        <f>I60+R60</f>
        <v>93869296</v>
      </c>
      <c r="I60" s="804">
        <f>SUM(J60:Q60)</f>
        <v>22280203</v>
      </c>
      <c r="J60" s="804">
        <v>121724</v>
      </c>
      <c r="K60" s="804">
        <v>401830</v>
      </c>
      <c r="L60" s="804"/>
      <c r="M60" s="804">
        <v>20075896</v>
      </c>
      <c r="N60" s="804">
        <v>131951</v>
      </c>
      <c r="O60" s="804"/>
      <c r="P60" s="804"/>
      <c r="Q60" s="804">
        <v>1548802</v>
      </c>
      <c r="R60" s="804">
        <v>71589093</v>
      </c>
      <c r="S60" s="789">
        <f t="shared" si="11"/>
        <v>93345742</v>
      </c>
      <c r="T60" s="783">
        <f t="shared" si="10"/>
        <v>2.3498618930895736</v>
      </c>
      <c r="U60" s="821">
        <f t="shared" si="2"/>
        <v>0</v>
      </c>
    </row>
    <row r="61" spans="1:21" ht="24.75" customHeight="1">
      <c r="A61" s="849" t="s">
        <v>817</v>
      </c>
      <c r="B61" s="852" t="s">
        <v>854</v>
      </c>
      <c r="C61" s="804">
        <f>D61+E61</f>
        <v>106912584</v>
      </c>
      <c r="D61" s="804">
        <v>17350970</v>
      </c>
      <c r="E61" s="804">
        <v>89561614</v>
      </c>
      <c r="F61" s="804"/>
      <c r="G61" s="804"/>
      <c r="H61" s="804">
        <f>I61+R61</f>
        <v>106912584</v>
      </c>
      <c r="I61" s="804">
        <f>SUM(J61:Q61)</f>
        <v>104331319</v>
      </c>
      <c r="J61" s="804">
        <v>89078</v>
      </c>
      <c r="K61" s="804">
        <v>145664</v>
      </c>
      <c r="L61" s="804"/>
      <c r="M61" s="804">
        <v>104096577</v>
      </c>
      <c r="N61" s="804"/>
      <c r="O61" s="804"/>
      <c r="P61" s="804"/>
      <c r="Q61" s="804"/>
      <c r="R61" s="804">
        <v>2581265</v>
      </c>
      <c r="S61" s="789">
        <f t="shared" si="11"/>
        <v>106677842</v>
      </c>
      <c r="T61" s="783">
        <f t="shared" si="10"/>
        <v>0.22499667621378389</v>
      </c>
      <c r="U61" s="821">
        <f t="shared" si="2"/>
        <v>0</v>
      </c>
    </row>
    <row r="62" spans="1:21" ht="24.75" customHeight="1">
      <c r="A62" s="849" t="s">
        <v>818</v>
      </c>
      <c r="B62" s="852" t="s">
        <v>782</v>
      </c>
      <c r="C62" s="804">
        <f>D62+E62</f>
        <v>10136226</v>
      </c>
      <c r="D62" s="804">
        <v>2627139</v>
      </c>
      <c r="E62" s="804">
        <v>7509087</v>
      </c>
      <c r="F62" s="804"/>
      <c r="G62" s="804"/>
      <c r="H62" s="804">
        <f>I62+R62</f>
        <v>10136226</v>
      </c>
      <c r="I62" s="804">
        <f>SUM(J62:Q62)</f>
        <v>8727277</v>
      </c>
      <c r="J62" s="804">
        <v>69625</v>
      </c>
      <c r="K62" s="804">
        <v>1</v>
      </c>
      <c r="L62" s="804"/>
      <c r="M62" s="804">
        <v>8657651</v>
      </c>
      <c r="N62" s="804"/>
      <c r="O62" s="804"/>
      <c r="P62" s="804"/>
      <c r="Q62" s="804"/>
      <c r="R62" s="804">
        <v>1408949</v>
      </c>
      <c r="S62" s="789">
        <f t="shared" si="11"/>
        <v>10066600</v>
      </c>
      <c r="T62" s="783">
        <f t="shared" si="10"/>
        <v>0.7977975260782946</v>
      </c>
      <c r="U62" s="821">
        <f t="shared" si="2"/>
        <v>0</v>
      </c>
    </row>
    <row r="63" spans="1:21" s="822" customFormat="1" ht="24.75" customHeight="1">
      <c r="A63" s="907">
        <v>7</v>
      </c>
      <c r="B63" s="911" t="s">
        <v>751</v>
      </c>
      <c r="C63" s="823">
        <f>SUM(C64:C71)</f>
        <v>533634539</v>
      </c>
      <c r="D63" s="823">
        <f aca="true" t="shared" si="17" ref="D63:R63">SUM(D64:D71)</f>
        <v>324285082</v>
      </c>
      <c r="E63" s="823">
        <f t="shared" si="17"/>
        <v>209349457</v>
      </c>
      <c r="F63" s="823">
        <f t="shared" si="17"/>
        <v>600</v>
      </c>
      <c r="G63" s="823">
        <f t="shared" si="17"/>
        <v>9109528</v>
      </c>
      <c r="H63" s="823">
        <f t="shared" si="17"/>
        <v>533633939</v>
      </c>
      <c r="I63" s="823">
        <f t="shared" si="17"/>
        <v>357633147</v>
      </c>
      <c r="J63" s="823">
        <f t="shared" si="17"/>
        <v>7692396</v>
      </c>
      <c r="K63" s="823">
        <f t="shared" si="17"/>
        <v>1458398</v>
      </c>
      <c r="L63" s="823">
        <f t="shared" si="17"/>
        <v>0</v>
      </c>
      <c r="M63" s="823">
        <f t="shared" si="17"/>
        <v>348479873</v>
      </c>
      <c r="N63" s="823">
        <f t="shared" si="17"/>
        <v>0</v>
      </c>
      <c r="O63" s="823">
        <f t="shared" si="17"/>
        <v>0</v>
      </c>
      <c r="P63" s="823">
        <f t="shared" si="17"/>
        <v>0</v>
      </c>
      <c r="Q63" s="823">
        <f t="shared" si="17"/>
        <v>2480</v>
      </c>
      <c r="R63" s="823">
        <f t="shared" si="17"/>
        <v>176000792</v>
      </c>
      <c r="S63" s="823">
        <f t="shared" si="11"/>
        <v>524483145</v>
      </c>
      <c r="T63" s="820">
        <f t="shared" si="10"/>
        <v>2.558709693651523</v>
      </c>
      <c r="U63" s="821">
        <f t="shared" si="2"/>
        <v>0</v>
      </c>
    </row>
    <row r="64" spans="1:21" ht="24.75" customHeight="1">
      <c r="A64" s="854" t="s">
        <v>819</v>
      </c>
      <c r="B64" s="912" t="s">
        <v>709</v>
      </c>
      <c r="C64" s="787">
        <f aca="true" t="shared" si="18" ref="C64:C69">D64+E64</f>
        <v>202739633</v>
      </c>
      <c r="D64" s="787">
        <f>99333350-8151301-36366726-406363+406408</f>
        <v>54815368</v>
      </c>
      <c r="E64" s="787">
        <v>147924265</v>
      </c>
      <c r="F64" s="787">
        <v>0</v>
      </c>
      <c r="G64" s="787"/>
      <c r="H64" s="787">
        <f aca="true" t="shared" si="19" ref="H64:H71">I64+R64</f>
        <v>202739633</v>
      </c>
      <c r="I64" s="787">
        <f>SUM(J64:Q64)</f>
        <v>192042092</v>
      </c>
      <c r="J64" s="787">
        <v>3191592</v>
      </c>
      <c r="K64" s="787">
        <v>0</v>
      </c>
      <c r="L64" s="787"/>
      <c r="M64" s="787">
        <f>188058455+792000-406363+406408</f>
        <v>188850500</v>
      </c>
      <c r="N64" s="787"/>
      <c r="O64" s="787"/>
      <c r="P64" s="787"/>
      <c r="Q64" s="805"/>
      <c r="R64" s="806">
        <v>10697541</v>
      </c>
      <c r="S64" s="789">
        <f t="shared" si="11"/>
        <v>199548041</v>
      </c>
      <c r="T64" s="783">
        <f t="shared" si="10"/>
        <v>1.6619231579710139</v>
      </c>
      <c r="U64" s="821">
        <f t="shared" si="2"/>
        <v>0</v>
      </c>
    </row>
    <row r="65" spans="1:21" s="715" customFormat="1" ht="24.75" customHeight="1">
      <c r="A65" s="854" t="s">
        <v>820</v>
      </c>
      <c r="B65" s="912" t="s">
        <v>710</v>
      </c>
      <c r="C65" s="787">
        <f t="shared" si="18"/>
        <v>66844639</v>
      </c>
      <c r="D65" s="807">
        <f>66220500-254250</f>
        <v>65966250</v>
      </c>
      <c r="E65" s="807">
        <v>878389</v>
      </c>
      <c r="F65" s="787"/>
      <c r="G65" s="807">
        <v>0</v>
      </c>
      <c r="H65" s="787">
        <f t="shared" si="19"/>
        <v>66844639</v>
      </c>
      <c r="I65" s="787">
        <f>SUM(J65:Q65)</f>
        <v>35777581</v>
      </c>
      <c r="J65" s="807">
        <v>16905</v>
      </c>
      <c r="K65" s="807"/>
      <c r="L65" s="807">
        <v>0</v>
      </c>
      <c r="M65" s="807">
        <f>35684058+74138</f>
        <v>35758196</v>
      </c>
      <c r="N65" s="807">
        <v>0</v>
      </c>
      <c r="O65" s="807">
        <v>0</v>
      </c>
      <c r="P65" s="807">
        <v>0</v>
      </c>
      <c r="Q65" s="808">
        <v>2480</v>
      </c>
      <c r="R65" s="809">
        <v>31067058</v>
      </c>
      <c r="S65" s="789">
        <f t="shared" si="11"/>
        <v>66827734</v>
      </c>
      <c r="T65" s="783">
        <f t="shared" si="10"/>
        <v>0.04725025987642932</v>
      </c>
      <c r="U65" s="821">
        <f t="shared" si="2"/>
        <v>0</v>
      </c>
    </row>
    <row r="66" spans="1:21" ht="24.75" customHeight="1">
      <c r="A66" s="854" t="s">
        <v>821</v>
      </c>
      <c r="B66" s="912" t="s">
        <v>783</v>
      </c>
      <c r="C66" s="787">
        <f t="shared" si="18"/>
        <v>57660308</v>
      </c>
      <c r="D66" s="787">
        <v>18253984</v>
      </c>
      <c r="E66" s="787">
        <v>39406324</v>
      </c>
      <c r="F66" s="787">
        <v>200</v>
      </c>
      <c r="G66" s="787"/>
      <c r="H66" s="787">
        <f t="shared" si="19"/>
        <v>57660108</v>
      </c>
      <c r="I66" s="787">
        <f>SUM(J66:Q66)</f>
        <v>43694913</v>
      </c>
      <c r="J66" s="787">
        <f>105339-200</f>
        <v>105139</v>
      </c>
      <c r="K66" s="787">
        <v>0</v>
      </c>
      <c r="L66" s="787"/>
      <c r="M66" s="787">
        <v>43589774</v>
      </c>
      <c r="N66" s="787"/>
      <c r="O66" s="787"/>
      <c r="P66" s="787"/>
      <c r="Q66" s="805">
        <v>0</v>
      </c>
      <c r="R66" s="806">
        <v>13965195</v>
      </c>
      <c r="S66" s="789">
        <f t="shared" si="11"/>
        <v>57554969</v>
      </c>
      <c r="T66" s="783">
        <f t="shared" si="10"/>
        <v>0.24062068735552808</v>
      </c>
      <c r="U66" s="821">
        <f t="shared" si="2"/>
        <v>0</v>
      </c>
    </row>
    <row r="67" spans="1:21" ht="24.75" customHeight="1">
      <c r="A67" s="854" t="s">
        <v>822</v>
      </c>
      <c r="B67" s="912" t="s">
        <v>712</v>
      </c>
      <c r="C67" s="787">
        <f t="shared" si="18"/>
        <v>33357441</v>
      </c>
      <c r="D67" s="787">
        <f>44850213-16371173</f>
        <v>28479040</v>
      </c>
      <c r="E67" s="787">
        <v>4878401</v>
      </c>
      <c r="F67" s="787">
        <v>400</v>
      </c>
      <c r="G67" s="787"/>
      <c r="H67" s="787">
        <f t="shared" si="19"/>
        <v>33357041</v>
      </c>
      <c r="I67" s="787">
        <f>SUM(J67:Q67)</f>
        <v>6619902</v>
      </c>
      <c r="J67" s="787">
        <v>247446</v>
      </c>
      <c r="K67" s="787">
        <v>1398812</v>
      </c>
      <c r="L67" s="787"/>
      <c r="M67" s="787">
        <v>4973644</v>
      </c>
      <c r="N67" s="787"/>
      <c r="O67" s="787"/>
      <c r="P67" s="787"/>
      <c r="Q67" s="805">
        <v>0</v>
      </c>
      <c r="R67" s="806">
        <v>26737139</v>
      </c>
      <c r="S67" s="789">
        <f t="shared" si="11"/>
        <v>31710783</v>
      </c>
      <c r="T67" s="783">
        <f t="shared" si="10"/>
        <v>24.868313760536033</v>
      </c>
      <c r="U67" s="821">
        <f t="shared" si="2"/>
        <v>0</v>
      </c>
    </row>
    <row r="68" spans="1:21" ht="24.75" customHeight="1">
      <c r="A68" s="854" t="s">
        <v>823</v>
      </c>
      <c r="B68" s="912" t="s">
        <v>713</v>
      </c>
      <c r="C68" s="787">
        <f t="shared" si="18"/>
        <v>76208453</v>
      </c>
      <c r="D68" s="787">
        <f>84228674-25943827+16371173</f>
        <v>74656020</v>
      </c>
      <c r="E68" s="798">
        <v>1552433</v>
      </c>
      <c r="F68" s="787">
        <v>0</v>
      </c>
      <c r="G68" s="787"/>
      <c r="H68" s="787">
        <f t="shared" si="19"/>
        <v>76208453</v>
      </c>
      <c r="I68" s="787">
        <f>SUM(J68:Q68)</f>
        <v>57935403</v>
      </c>
      <c r="J68" s="787">
        <v>37756</v>
      </c>
      <c r="K68" s="787">
        <v>2586</v>
      </c>
      <c r="L68" s="787"/>
      <c r="M68" s="787">
        <f>57751799+143262</f>
        <v>57895061</v>
      </c>
      <c r="N68" s="787"/>
      <c r="O68" s="787"/>
      <c r="P68" s="787"/>
      <c r="Q68" s="805">
        <v>0</v>
      </c>
      <c r="R68" s="806">
        <v>18273050</v>
      </c>
      <c r="S68" s="789">
        <f t="shared" si="11"/>
        <v>76168111</v>
      </c>
      <c r="T68" s="783">
        <f t="shared" si="10"/>
        <v>0.06963272526127073</v>
      </c>
      <c r="U68" s="821">
        <f t="shared" si="2"/>
        <v>0</v>
      </c>
    </row>
    <row r="69" spans="1:21" ht="24.75" customHeight="1">
      <c r="A69" s="854" t="s">
        <v>824</v>
      </c>
      <c r="B69" s="912" t="s">
        <v>714</v>
      </c>
      <c r="C69" s="787">
        <f t="shared" si="18"/>
        <v>51765049</v>
      </c>
      <c r="D69" s="787">
        <f>11398316+36366726</f>
        <v>47765042</v>
      </c>
      <c r="E69" s="787">
        <v>4000007</v>
      </c>
      <c r="F69" s="787">
        <v>0</v>
      </c>
      <c r="G69" s="787">
        <v>9109528</v>
      </c>
      <c r="H69" s="787">
        <f t="shared" si="19"/>
        <v>51765049</v>
      </c>
      <c r="I69" s="787">
        <f>J69+K69+L69+M69+N69+O69+P69+Q69</f>
        <v>9837897</v>
      </c>
      <c r="J69" s="787">
        <v>3993551</v>
      </c>
      <c r="K69" s="787">
        <v>57000</v>
      </c>
      <c r="L69" s="787"/>
      <c r="M69" s="787">
        <f>6423448+36366726-37002828</f>
        <v>5787346</v>
      </c>
      <c r="N69" s="787"/>
      <c r="O69" s="787"/>
      <c r="P69" s="787"/>
      <c r="Q69" s="805">
        <v>0</v>
      </c>
      <c r="R69" s="806">
        <v>41927152</v>
      </c>
      <c r="S69" s="789">
        <f t="shared" si="11"/>
        <v>47714498</v>
      </c>
      <c r="T69" s="783">
        <f t="shared" si="10"/>
        <v>41.17293563858211</v>
      </c>
      <c r="U69" s="821">
        <f t="shared" si="2"/>
        <v>0</v>
      </c>
    </row>
    <row r="70" spans="1:21" ht="24.75" customHeight="1">
      <c r="A70" s="854" t="s">
        <v>825</v>
      </c>
      <c r="B70" s="912" t="s">
        <v>826</v>
      </c>
      <c r="C70" s="787">
        <v>19038738</v>
      </c>
      <c r="D70" s="787">
        <f>8151301+254250</f>
        <v>8405551</v>
      </c>
      <c r="E70" s="787">
        <v>10633187</v>
      </c>
      <c r="F70" s="787">
        <v>0</v>
      </c>
      <c r="G70" s="787">
        <v>0</v>
      </c>
      <c r="H70" s="787">
        <f t="shared" si="19"/>
        <v>19038738</v>
      </c>
      <c r="I70" s="787">
        <f>J70+K70+L70+M70+N70+O70+P70+Q70</f>
        <v>11198768</v>
      </c>
      <c r="J70" s="787">
        <v>96937</v>
      </c>
      <c r="K70" s="787">
        <v>0</v>
      </c>
      <c r="L70" s="787">
        <v>0</v>
      </c>
      <c r="M70" s="787">
        <v>11101831</v>
      </c>
      <c r="N70" s="787">
        <v>0</v>
      </c>
      <c r="O70" s="787">
        <v>0</v>
      </c>
      <c r="P70" s="787">
        <v>0</v>
      </c>
      <c r="Q70" s="805">
        <v>0</v>
      </c>
      <c r="R70" s="806">
        <v>7839970</v>
      </c>
      <c r="S70" s="789"/>
      <c r="T70" s="783"/>
      <c r="U70" s="821">
        <f t="shared" si="2"/>
        <v>0</v>
      </c>
    </row>
    <row r="71" spans="1:21" ht="24.75" customHeight="1">
      <c r="A71" s="854" t="s">
        <v>827</v>
      </c>
      <c r="B71" s="912" t="s">
        <v>828</v>
      </c>
      <c r="C71" s="787">
        <f>D71+E71</f>
        <v>26020278</v>
      </c>
      <c r="D71" s="787">
        <v>25943827</v>
      </c>
      <c r="E71" s="787">
        <v>76451</v>
      </c>
      <c r="F71" s="787">
        <v>0</v>
      </c>
      <c r="G71" s="787">
        <v>0</v>
      </c>
      <c r="H71" s="787">
        <f t="shared" si="19"/>
        <v>26020278</v>
      </c>
      <c r="I71" s="787">
        <f>J71+K71+L71+M71+N71+O71+P71+Q71</f>
        <v>526591</v>
      </c>
      <c r="J71" s="787">
        <v>3070</v>
      </c>
      <c r="K71" s="787">
        <v>0</v>
      </c>
      <c r="L71" s="787">
        <v>0</v>
      </c>
      <c r="M71" s="787">
        <f>490456+33065</f>
        <v>523521</v>
      </c>
      <c r="N71" s="787">
        <v>0</v>
      </c>
      <c r="O71" s="787">
        <v>0</v>
      </c>
      <c r="P71" s="787">
        <v>0</v>
      </c>
      <c r="Q71" s="805">
        <v>0</v>
      </c>
      <c r="R71" s="806">
        <v>25493687</v>
      </c>
      <c r="S71" s="789"/>
      <c r="T71" s="783"/>
      <c r="U71" s="821">
        <f t="shared" si="2"/>
        <v>0</v>
      </c>
    </row>
    <row r="72" spans="1:21" s="822" customFormat="1" ht="24.75" customHeight="1">
      <c r="A72" s="907">
        <v>8</v>
      </c>
      <c r="B72" s="910" t="s">
        <v>715</v>
      </c>
      <c r="C72" s="823">
        <f>SUM(C73:C75)</f>
        <v>127735778</v>
      </c>
      <c r="D72" s="823">
        <f aca="true" t="shared" si="20" ref="D72:R72">SUM(D73:D75)</f>
        <v>40111419</v>
      </c>
      <c r="E72" s="823">
        <f t="shared" si="20"/>
        <v>87624359</v>
      </c>
      <c r="F72" s="823">
        <f t="shared" si="20"/>
        <v>2510392</v>
      </c>
      <c r="G72" s="823">
        <f t="shared" si="20"/>
        <v>0</v>
      </c>
      <c r="H72" s="823">
        <f t="shared" si="20"/>
        <v>125225386</v>
      </c>
      <c r="I72" s="823">
        <f t="shared" si="20"/>
        <v>110347564</v>
      </c>
      <c r="J72" s="823">
        <f t="shared" si="20"/>
        <v>263224</v>
      </c>
      <c r="K72" s="823">
        <f t="shared" si="20"/>
        <v>608</v>
      </c>
      <c r="L72" s="823">
        <f t="shared" si="20"/>
        <v>0</v>
      </c>
      <c r="M72" s="823">
        <f t="shared" si="20"/>
        <v>110074630</v>
      </c>
      <c r="N72" s="823">
        <f t="shared" si="20"/>
        <v>0</v>
      </c>
      <c r="O72" s="823">
        <f t="shared" si="20"/>
        <v>9102</v>
      </c>
      <c r="P72" s="823">
        <f t="shared" si="20"/>
        <v>0</v>
      </c>
      <c r="Q72" s="823">
        <f t="shared" si="20"/>
        <v>0</v>
      </c>
      <c r="R72" s="823">
        <f t="shared" si="20"/>
        <v>14877822</v>
      </c>
      <c r="S72" s="823">
        <f t="shared" si="11"/>
        <v>124961554</v>
      </c>
      <c r="T72" s="820">
        <f t="shared" si="10"/>
        <v>0.23909182082170838</v>
      </c>
      <c r="U72" s="821">
        <f t="shared" si="2"/>
        <v>0</v>
      </c>
    </row>
    <row r="73" spans="1:21" s="715" customFormat="1" ht="24.75" customHeight="1">
      <c r="A73" s="854" t="s">
        <v>716</v>
      </c>
      <c r="B73" s="853" t="s">
        <v>717</v>
      </c>
      <c r="C73" s="804">
        <f>D73+E73</f>
        <v>64494726</v>
      </c>
      <c r="D73" s="804">
        <v>2877896</v>
      </c>
      <c r="E73" s="804">
        <v>61616830</v>
      </c>
      <c r="F73" s="804">
        <v>0</v>
      </c>
      <c r="G73" s="804"/>
      <c r="H73" s="804">
        <f>I73+R73</f>
        <v>64494726</v>
      </c>
      <c r="I73" s="804">
        <f>J73+K73+L73+M73+N73+O73+P73+Q73</f>
        <v>62961557</v>
      </c>
      <c r="J73" s="804">
        <v>135112</v>
      </c>
      <c r="K73" s="804">
        <v>0</v>
      </c>
      <c r="L73" s="804"/>
      <c r="M73" s="804">
        <v>62826445</v>
      </c>
      <c r="N73" s="804"/>
      <c r="O73" s="804"/>
      <c r="P73" s="804"/>
      <c r="Q73" s="804"/>
      <c r="R73" s="804">
        <v>1533169</v>
      </c>
      <c r="S73" s="789">
        <f t="shared" si="11"/>
        <v>64359614</v>
      </c>
      <c r="T73" s="783">
        <f t="shared" si="10"/>
        <v>0.21459443895264535</v>
      </c>
      <c r="U73" s="821">
        <f t="shared" si="2"/>
        <v>0</v>
      </c>
    </row>
    <row r="74" spans="1:21" ht="24.75" customHeight="1">
      <c r="A74" s="854" t="s">
        <v>718</v>
      </c>
      <c r="B74" s="853" t="s">
        <v>719</v>
      </c>
      <c r="C74" s="804">
        <f>D74+E74</f>
        <v>29480745</v>
      </c>
      <c r="D74" s="804">
        <v>20591095</v>
      </c>
      <c r="E74" s="804">
        <v>8889650</v>
      </c>
      <c r="F74" s="804">
        <v>0</v>
      </c>
      <c r="G74" s="804">
        <v>0</v>
      </c>
      <c r="H74" s="804">
        <f>I74+R74</f>
        <v>29480745</v>
      </c>
      <c r="I74" s="804">
        <f>J74+K74+L74+M74+N74+O74+P74+Q74</f>
        <v>21678832</v>
      </c>
      <c r="J74" s="804">
        <v>76675</v>
      </c>
      <c r="K74" s="804">
        <v>608</v>
      </c>
      <c r="L74" s="804"/>
      <c r="M74" s="804">
        <v>21592447</v>
      </c>
      <c r="N74" s="804"/>
      <c r="O74" s="804">
        <v>9102</v>
      </c>
      <c r="P74" s="804"/>
      <c r="Q74" s="804"/>
      <c r="R74" s="804">
        <v>7801913</v>
      </c>
      <c r="S74" s="789">
        <f t="shared" si="11"/>
        <v>29403462</v>
      </c>
      <c r="T74" s="783">
        <f t="shared" si="10"/>
        <v>0.35649060798109417</v>
      </c>
      <c r="U74" s="821">
        <f t="shared" si="2"/>
        <v>0</v>
      </c>
    </row>
    <row r="75" spans="1:21" ht="24.75" customHeight="1">
      <c r="A75" s="854" t="s">
        <v>784</v>
      </c>
      <c r="B75" s="853" t="s">
        <v>711</v>
      </c>
      <c r="C75" s="804">
        <f>D75+E75</f>
        <v>33760307</v>
      </c>
      <c r="D75" s="804">
        <v>16642428</v>
      </c>
      <c r="E75" s="804">
        <v>17117879</v>
      </c>
      <c r="F75" s="804">
        <v>2510392</v>
      </c>
      <c r="G75" s="804"/>
      <c r="H75" s="804">
        <f>I75+R75</f>
        <v>31249915</v>
      </c>
      <c r="I75" s="804">
        <f>J75+K75+L75+M75+N75+O75+P75+Q75</f>
        <v>25707175</v>
      </c>
      <c r="J75" s="804">
        <v>51437</v>
      </c>
      <c r="K75" s="804">
        <v>0</v>
      </c>
      <c r="L75" s="804"/>
      <c r="M75" s="804">
        <v>25655738</v>
      </c>
      <c r="N75" s="804"/>
      <c r="O75" s="804"/>
      <c r="P75" s="804"/>
      <c r="Q75" s="804"/>
      <c r="R75" s="804">
        <v>5542740</v>
      </c>
      <c r="S75" s="789">
        <f t="shared" si="11"/>
        <v>31198478</v>
      </c>
      <c r="T75" s="783">
        <f t="shared" si="10"/>
        <v>0.20008810769755916</v>
      </c>
      <c r="U75" s="821">
        <f t="shared" si="2"/>
        <v>0</v>
      </c>
    </row>
    <row r="76" spans="1:21" s="822" customFormat="1" ht="24.75" customHeight="1">
      <c r="A76" s="907">
        <v>9</v>
      </c>
      <c r="B76" s="910" t="s">
        <v>720</v>
      </c>
      <c r="C76" s="823">
        <f>SUM(C77:C79)</f>
        <v>11527656</v>
      </c>
      <c r="D76" s="823">
        <f aca="true" t="shared" si="21" ref="D76:R76">SUM(D77:D79)</f>
        <v>9962981</v>
      </c>
      <c r="E76" s="823">
        <f t="shared" si="21"/>
        <v>1564675</v>
      </c>
      <c r="F76" s="823">
        <f t="shared" si="21"/>
        <v>5000</v>
      </c>
      <c r="G76" s="823">
        <f t="shared" si="21"/>
        <v>0</v>
      </c>
      <c r="H76" s="823">
        <f t="shared" si="21"/>
        <v>11522656</v>
      </c>
      <c r="I76" s="823">
        <f t="shared" si="21"/>
        <v>9333300</v>
      </c>
      <c r="J76" s="823">
        <f t="shared" si="21"/>
        <v>840142</v>
      </c>
      <c r="K76" s="823">
        <f t="shared" si="21"/>
        <v>48825</v>
      </c>
      <c r="L76" s="823">
        <f t="shared" si="21"/>
        <v>0</v>
      </c>
      <c r="M76" s="823">
        <f t="shared" si="21"/>
        <v>8444333</v>
      </c>
      <c r="N76" s="823">
        <f t="shared" si="21"/>
        <v>0</v>
      </c>
      <c r="O76" s="823">
        <f t="shared" si="21"/>
        <v>0</v>
      </c>
      <c r="P76" s="823">
        <f t="shared" si="21"/>
        <v>0</v>
      </c>
      <c r="Q76" s="823">
        <f t="shared" si="21"/>
        <v>0</v>
      </c>
      <c r="R76" s="823">
        <f t="shared" si="21"/>
        <v>2189356</v>
      </c>
      <c r="S76" s="823">
        <f t="shared" si="11"/>
        <v>10633689</v>
      </c>
      <c r="T76" s="820">
        <f t="shared" si="10"/>
        <v>9.524680445287306</v>
      </c>
      <c r="U76" s="821">
        <f aca="true" t="shared" si="22" ref="U76:U118">C76-F76-H76</f>
        <v>0</v>
      </c>
    </row>
    <row r="77" spans="1:21" s="715" customFormat="1" ht="24.75" customHeight="1">
      <c r="A77" s="854" t="s">
        <v>721</v>
      </c>
      <c r="B77" s="851" t="s">
        <v>722</v>
      </c>
      <c r="C77" s="810">
        <f>SUM(D77:E77)</f>
        <v>2703943</v>
      </c>
      <c r="D77" s="810">
        <v>2666893</v>
      </c>
      <c r="E77" s="810">
        <f>8400+28650</f>
        <v>37050</v>
      </c>
      <c r="F77" s="810">
        <f>5000</f>
        <v>5000</v>
      </c>
      <c r="G77" s="810">
        <v>0</v>
      </c>
      <c r="H77" s="810">
        <f>I77+R77</f>
        <v>2698943</v>
      </c>
      <c r="I77" s="810">
        <f>SUM(J77:Q77)</f>
        <v>2281455</v>
      </c>
      <c r="J77" s="810">
        <f>7050+5110+675130</f>
        <v>687290</v>
      </c>
      <c r="K77" s="810">
        <f>27853</f>
        <v>27853</v>
      </c>
      <c r="L77" s="810">
        <v>0</v>
      </c>
      <c r="M77" s="810">
        <f>C77-J77-K77-L77-N77-O77-P77-Q77-R77-F77-G77</f>
        <v>1566312</v>
      </c>
      <c r="N77" s="810">
        <v>0</v>
      </c>
      <c r="O77" s="810">
        <v>0</v>
      </c>
      <c r="P77" s="810">
        <v>0</v>
      </c>
      <c r="Q77" s="811">
        <v>0</v>
      </c>
      <c r="R77" s="786">
        <f>438988-21500</f>
        <v>417488</v>
      </c>
      <c r="S77" s="789">
        <f t="shared" si="11"/>
        <v>1983800</v>
      </c>
      <c r="T77" s="783">
        <f t="shared" si="10"/>
        <v>31.345917407969914</v>
      </c>
      <c r="U77" s="821">
        <f t="shared" si="22"/>
        <v>0</v>
      </c>
    </row>
    <row r="78" spans="1:21" ht="24.75" customHeight="1">
      <c r="A78" s="854" t="s">
        <v>723</v>
      </c>
      <c r="B78" s="851" t="s">
        <v>724</v>
      </c>
      <c r="C78" s="810">
        <f>SUM(D78:E78)</f>
        <v>5518037</v>
      </c>
      <c r="D78" s="810">
        <v>4516556</v>
      </c>
      <c r="E78" s="810">
        <f>846210-59+155330</f>
        <v>1001481</v>
      </c>
      <c r="F78" s="810">
        <v>0</v>
      </c>
      <c r="G78" s="810">
        <v>0</v>
      </c>
      <c r="H78" s="810">
        <f>I78+R78</f>
        <v>5518037</v>
      </c>
      <c r="I78" s="810">
        <f>SUM(J78:Q78)</f>
        <v>4400579</v>
      </c>
      <c r="J78" s="810">
        <f>93000</f>
        <v>93000</v>
      </c>
      <c r="K78" s="810">
        <f>10000</f>
        <v>10000</v>
      </c>
      <c r="L78" s="810">
        <v>0</v>
      </c>
      <c r="M78" s="810">
        <f>C78-J78-K78-L78-N78-O78-P78-Q78-R78-F78-G78</f>
        <v>4297579</v>
      </c>
      <c r="N78" s="810">
        <v>0</v>
      </c>
      <c r="O78" s="810">
        <v>0</v>
      </c>
      <c r="P78" s="810">
        <v>0</v>
      </c>
      <c r="Q78" s="811">
        <v>0</v>
      </c>
      <c r="R78" s="786">
        <f>390935-52717-3081+700000+37321+45000</f>
        <v>1117458</v>
      </c>
      <c r="S78" s="789">
        <f t="shared" si="11"/>
        <v>5415037</v>
      </c>
      <c r="T78" s="783">
        <f t="shared" si="10"/>
        <v>2.3406010890839593</v>
      </c>
      <c r="U78" s="821">
        <f t="shared" si="22"/>
        <v>0</v>
      </c>
    </row>
    <row r="79" spans="1:21" ht="24.75" customHeight="1">
      <c r="A79" s="854" t="s">
        <v>725</v>
      </c>
      <c r="B79" s="851" t="s">
        <v>726</v>
      </c>
      <c r="C79" s="810">
        <f>SUM(D79:E79)</f>
        <v>3305676</v>
      </c>
      <c r="D79" s="810">
        <v>2779532</v>
      </c>
      <c r="E79" s="810">
        <f>425014+15200+85930</f>
        <v>526144</v>
      </c>
      <c r="F79" s="810">
        <v>0</v>
      </c>
      <c r="G79" s="810">
        <v>0</v>
      </c>
      <c r="H79" s="810">
        <f>I79+R79</f>
        <v>3305676</v>
      </c>
      <c r="I79" s="810">
        <f>SUM(J79:Q79)</f>
        <v>2651266</v>
      </c>
      <c r="J79" s="810">
        <f>10350+49502</f>
        <v>59852</v>
      </c>
      <c r="K79" s="810">
        <f>10972</f>
        <v>10972</v>
      </c>
      <c r="L79" s="810">
        <v>0</v>
      </c>
      <c r="M79" s="810">
        <f>C79-J79-K79-L79-N79-O79-P79-Q79-R79-F79-G79</f>
        <v>2580442</v>
      </c>
      <c r="N79" s="810">
        <v>0</v>
      </c>
      <c r="O79" s="810">
        <v>0</v>
      </c>
      <c r="P79" s="810">
        <v>0</v>
      </c>
      <c r="Q79" s="811">
        <v>0</v>
      </c>
      <c r="R79" s="786">
        <f>571173-29780+411-37786+57836+33070+2650+56836</f>
        <v>654410</v>
      </c>
      <c r="S79" s="789">
        <f t="shared" si="11"/>
        <v>3234852</v>
      </c>
      <c r="T79" s="783">
        <f t="shared" si="10"/>
        <v>2.671327584633153</v>
      </c>
      <c r="U79" s="821">
        <f t="shared" si="22"/>
        <v>0</v>
      </c>
    </row>
    <row r="80" spans="1:21" s="822" customFormat="1" ht="24.75" customHeight="1">
      <c r="A80" s="907">
        <v>10</v>
      </c>
      <c r="B80" s="910" t="s">
        <v>727</v>
      </c>
      <c r="C80" s="823">
        <f>SUM(C81:C89)</f>
        <v>415589489</v>
      </c>
      <c r="D80" s="823">
        <f aca="true" t="shared" si="23" ref="D80:R80">SUM(D81:D89)</f>
        <v>382562132</v>
      </c>
      <c r="E80" s="823">
        <f t="shared" si="23"/>
        <v>33027357</v>
      </c>
      <c r="F80" s="823">
        <f t="shared" si="23"/>
        <v>808844</v>
      </c>
      <c r="G80" s="823">
        <f t="shared" si="23"/>
        <v>0</v>
      </c>
      <c r="H80" s="823">
        <f t="shared" si="23"/>
        <v>414780645</v>
      </c>
      <c r="I80" s="823">
        <f t="shared" si="23"/>
        <v>144233371</v>
      </c>
      <c r="J80" s="823">
        <f t="shared" si="23"/>
        <v>2466881</v>
      </c>
      <c r="K80" s="823">
        <f t="shared" si="23"/>
        <v>1442971</v>
      </c>
      <c r="L80" s="823">
        <f t="shared" si="23"/>
        <v>0</v>
      </c>
      <c r="M80" s="823">
        <f t="shared" si="23"/>
        <v>139271810</v>
      </c>
      <c r="N80" s="823">
        <f t="shared" si="23"/>
        <v>249239</v>
      </c>
      <c r="O80" s="823">
        <f t="shared" si="23"/>
        <v>0</v>
      </c>
      <c r="P80" s="823">
        <f t="shared" si="23"/>
        <v>0</v>
      </c>
      <c r="Q80" s="823">
        <f t="shared" si="23"/>
        <v>802470</v>
      </c>
      <c r="R80" s="823">
        <f t="shared" si="23"/>
        <v>270547274</v>
      </c>
      <c r="S80" s="823">
        <f t="shared" si="11"/>
        <v>410870793</v>
      </c>
      <c r="T80" s="820">
        <f t="shared" si="10"/>
        <v>2.7107818203874605</v>
      </c>
      <c r="U80" s="821">
        <f t="shared" si="22"/>
        <v>0</v>
      </c>
    </row>
    <row r="81" spans="1:21" s="715" customFormat="1" ht="24.75" customHeight="1">
      <c r="A81" s="854" t="s">
        <v>752</v>
      </c>
      <c r="B81" s="856" t="s">
        <v>696</v>
      </c>
      <c r="C81" s="812">
        <v>9703826</v>
      </c>
      <c r="D81" s="812">
        <v>5284886</v>
      </c>
      <c r="E81" s="812">
        <v>4418940</v>
      </c>
      <c r="F81" s="812">
        <v>0</v>
      </c>
      <c r="G81" s="812">
        <v>0</v>
      </c>
      <c r="H81" s="812">
        <v>9703826</v>
      </c>
      <c r="I81" s="812">
        <v>6286528</v>
      </c>
      <c r="J81" s="812">
        <v>1686930</v>
      </c>
      <c r="K81" s="812">
        <v>0</v>
      </c>
      <c r="L81" s="812">
        <v>0</v>
      </c>
      <c r="M81" s="812">
        <v>4599598</v>
      </c>
      <c r="N81" s="812">
        <v>0</v>
      </c>
      <c r="O81" s="812">
        <v>0</v>
      </c>
      <c r="P81" s="812">
        <v>0</v>
      </c>
      <c r="Q81" s="812">
        <v>0</v>
      </c>
      <c r="R81" s="812">
        <v>3417298</v>
      </c>
      <c r="S81" s="789">
        <f t="shared" si="11"/>
        <v>8016896</v>
      </c>
      <c r="T81" s="783">
        <f t="shared" si="10"/>
        <v>26.834048937664797</v>
      </c>
      <c r="U81" s="821">
        <f t="shared" si="22"/>
        <v>0</v>
      </c>
    </row>
    <row r="82" spans="1:21" ht="24.75" customHeight="1">
      <c r="A82" s="854" t="s">
        <v>794</v>
      </c>
      <c r="B82" s="856" t="s">
        <v>829</v>
      </c>
      <c r="C82" s="812">
        <v>184360277</v>
      </c>
      <c r="D82" s="812">
        <v>158358464</v>
      </c>
      <c r="E82" s="812">
        <v>26001813</v>
      </c>
      <c r="F82" s="812">
        <v>0</v>
      </c>
      <c r="G82" s="812">
        <v>0</v>
      </c>
      <c r="H82" s="812">
        <v>184360277</v>
      </c>
      <c r="I82" s="812">
        <v>34473229</v>
      </c>
      <c r="J82" s="812">
        <v>363137</v>
      </c>
      <c r="K82" s="812">
        <v>59884</v>
      </c>
      <c r="L82" s="812">
        <v>0</v>
      </c>
      <c r="M82" s="812">
        <v>33948522</v>
      </c>
      <c r="N82" s="812">
        <v>101686</v>
      </c>
      <c r="O82" s="812">
        <v>0</v>
      </c>
      <c r="P82" s="812">
        <v>0</v>
      </c>
      <c r="Q82" s="812">
        <v>0</v>
      </c>
      <c r="R82" s="812">
        <v>149887048</v>
      </c>
      <c r="S82" s="789">
        <f t="shared" si="11"/>
        <v>183937256</v>
      </c>
      <c r="T82" s="783">
        <f t="shared" si="10"/>
        <v>1.2271000201344644</v>
      </c>
      <c r="U82" s="821">
        <f t="shared" si="22"/>
        <v>0</v>
      </c>
    </row>
    <row r="83" spans="1:21" ht="24.75" customHeight="1">
      <c r="A83" s="854" t="s">
        <v>753</v>
      </c>
      <c r="B83" s="856" t="s">
        <v>728</v>
      </c>
      <c r="C83" s="812">
        <v>5702227</v>
      </c>
      <c r="D83" s="812">
        <v>5632767</v>
      </c>
      <c r="E83" s="812">
        <v>69460</v>
      </c>
      <c r="F83" s="812">
        <v>0</v>
      </c>
      <c r="G83" s="812">
        <v>0</v>
      </c>
      <c r="H83" s="812">
        <v>5702227</v>
      </c>
      <c r="I83" s="812">
        <v>4985801</v>
      </c>
      <c r="J83" s="812">
        <v>25709</v>
      </c>
      <c r="K83" s="812">
        <v>664987</v>
      </c>
      <c r="L83" s="812">
        <v>0</v>
      </c>
      <c r="M83" s="812">
        <v>4295105</v>
      </c>
      <c r="N83" s="812">
        <v>0</v>
      </c>
      <c r="O83" s="812">
        <v>0</v>
      </c>
      <c r="P83" s="812">
        <v>0</v>
      </c>
      <c r="Q83" s="812">
        <v>0</v>
      </c>
      <c r="R83" s="812">
        <v>716426</v>
      </c>
      <c r="S83" s="789">
        <f t="shared" si="11"/>
        <v>5011531</v>
      </c>
      <c r="T83" s="783">
        <f t="shared" si="10"/>
        <v>13.853260489137051</v>
      </c>
      <c r="U83" s="821">
        <f t="shared" si="22"/>
        <v>0</v>
      </c>
    </row>
    <row r="84" spans="1:21" ht="24.75" customHeight="1">
      <c r="A84" s="854" t="s">
        <v>754</v>
      </c>
      <c r="B84" s="856" t="s">
        <v>796</v>
      </c>
      <c r="C84" s="812">
        <v>7857431</v>
      </c>
      <c r="D84" s="812">
        <v>7663235</v>
      </c>
      <c r="E84" s="812">
        <v>194196</v>
      </c>
      <c r="F84" s="812">
        <v>0</v>
      </c>
      <c r="G84" s="812">
        <v>0</v>
      </c>
      <c r="H84" s="812">
        <v>7857431</v>
      </c>
      <c r="I84" s="812">
        <v>5983683</v>
      </c>
      <c r="J84" s="812">
        <v>17979</v>
      </c>
      <c r="K84" s="812">
        <v>18100</v>
      </c>
      <c r="L84" s="812">
        <v>0</v>
      </c>
      <c r="M84" s="812">
        <v>5145134</v>
      </c>
      <c r="N84" s="812">
        <v>0</v>
      </c>
      <c r="O84" s="812">
        <v>0</v>
      </c>
      <c r="P84" s="812">
        <v>0</v>
      </c>
      <c r="Q84" s="812">
        <v>802470</v>
      </c>
      <c r="R84" s="812">
        <v>1873748</v>
      </c>
      <c r="S84" s="789">
        <f t="shared" si="11"/>
        <v>7821352</v>
      </c>
      <c r="T84" s="783">
        <f t="shared" si="10"/>
        <v>0.6029564066144547</v>
      </c>
      <c r="U84" s="821">
        <f t="shared" si="22"/>
        <v>0</v>
      </c>
    </row>
    <row r="85" spans="1:21" ht="24.75" customHeight="1">
      <c r="A85" s="854" t="s">
        <v>755</v>
      </c>
      <c r="B85" s="856" t="s">
        <v>729</v>
      </c>
      <c r="C85" s="812">
        <v>36981177</v>
      </c>
      <c r="D85" s="812">
        <v>36792039</v>
      </c>
      <c r="E85" s="812">
        <v>189138</v>
      </c>
      <c r="F85" s="812">
        <v>808844</v>
      </c>
      <c r="G85" s="812">
        <v>0</v>
      </c>
      <c r="H85" s="812">
        <v>36172333</v>
      </c>
      <c r="I85" s="812">
        <v>35373269</v>
      </c>
      <c r="J85" s="812">
        <v>18100</v>
      </c>
      <c r="K85" s="812">
        <v>0</v>
      </c>
      <c r="L85" s="812">
        <v>0</v>
      </c>
      <c r="M85" s="812">
        <v>35355169</v>
      </c>
      <c r="N85" s="812">
        <v>0</v>
      </c>
      <c r="O85" s="812">
        <v>0</v>
      </c>
      <c r="P85" s="812">
        <v>0</v>
      </c>
      <c r="Q85" s="812">
        <v>0</v>
      </c>
      <c r="R85" s="812">
        <v>799064</v>
      </c>
      <c r="S85" s="789">
        <f t="shared" si="11"/>
        <v>36154233</v>
      </c>
      <c r="T85" s="783">
        <f t="shared" si="10"/>
        <v>0.051168581563666056</v>
      </c>
      <c r="U85" s="821">
        <f t="shared" si="22"/>
        <v>0</v>
      </c>
    </row>
    <row r="86" spans="1:21" ht="24.75" customHeight="1">
      <c r="A86" s="854" t="s">
        <v>756</v>
      </c>
      <c r="B86" s="856" t="s">
        <v>731</v>
      </c>
      <c r="C86" s="812">
        <v>77159031</v>
      </c>
      <c r="D86" s="812">
        <v>75578191</v>
      </c>
      <c r="E86" s="812">
        <v>1580840</v>
      </c>
      <c r="F86" s="812">
        <v>0</v>
      </c>
      <c r="G86" s="812">
        <v>0</v>
      </c>
      <c r="H86" s="812">
        <v>77159031</v>
      </c>
      <c r="I86" s="812">
        <v>6861863</v>
      </c>
      <c r="J86" s="812">
        <v>54816</v>
      </c>
      <c r="K86" s="812">
        <v>700000</v>
      </c>
      <c r="L86" s="812">
        <v>0</v>
      </c>
      <c r="M86" s="812">
        <v>6107047</v>
      </c>
      <c r="N86" s="812">
        <v>0</v>
      </c>
      <c r="O86" s="812">
        <v>0</v>
      </c>
      <c r="P86" s="812">
        <v>0</v>
      </c>
      <c r="Q86" s="812">
        <v>0</v>
      </c>
      <c r="R86" s="812">
        <v>70297168</v>
      </c>
      <c r="S86" s="789">
        <f t="shared" si="11"/>
        <v>76404215</v>
      </c>
      <c r="T86" s="783">
        <f t="shared" si="10"/>
        <v>11.000161326450266</v>
      </c>
      <c r="U86" s="821">
        <f t="shared" si="22"/>
        <v>0</v>
      </c>
    </row>
    <row r="87" spans="1:21" ht="24.75" customHeight="1">
      <c r="A87" s="854" t="s">
        <v>730</v>
      </c>
      <c r="B87" s="857" t="s">
        <v>797</v>
      </c>
      <c r="C87" s="813">
        <v>28838313</v>
      </c>
      <c r="D87" s="813">
        <v>28521499</v>
      </c>
      <c r="E87" s="813">
        <v>316814</v>
      </c>
      <c r="F87" s="813">
        <v>0</v>
      </c>
      <c r="G87" s="813">
        <v>0</v>
      </c>
      <c r="H87" s="813">
        <v>28838313</v>
      </c>
      <c r="I87" s="813">
        <v>11647401</v>
      </c>
      <c r="J87" s="813">
        <v>122577</v>
      </c>
      <c r="K87" s="813">
        <v>0</v>
      </c>
      <c r="L87" s="813">
        <v>0</v>
      </c>
      <c r="M87" s="813">
        <v>11377271</v>
      </c>
      <c r="N87" s="813">
        <v>147553</v>
      </c>
      <c r="O87" s="813">
        <v>0</v>
      </c>
      <c r="P87" s="813">
        <v>0</v>
      </c>
      <c r="Q87" s="813">
        <v>0</v>
      </c>
      <c r="R87" s="813">
        <v>17190912</v>
      </c>
      <c r="S87" s="789">
        <f t="shared" si="11"/>
        <v>28715736</v>
      </c>
      <c r="T87" s="783">
        <f t="shared" si="10"/>
        <v>1.0523978697050098</v>
      </c>
      <c r="U87" s="821">
        <f t="shared" si="22"/>
        <v>0</v>
      </c>
    </row>
    <row r="88" spans="1:21" ht="24.75" customHeight="1">
      <c r="A88" s="854" t="s">
        <v>732</v>
      </c>
      <c r="B88" s="856" t="s">
        <v>798</v>
      </c>
      <c r="C88" s="812">
        <v>55994817</v>
      </c>
      <c r="D88" s="812">
        <v>55885926</v>
      </c>
      <c r="E88" s="812">
        <v>108891</v>
      </c>
      <c r="F88" s="812">
        <v>0</v>
      </c>
      <c r="G88" s="812">
        <v>0</v>
      </c>
      <c r="H88" s="812">
        <v>55994817</v>
      </c>
      <c r="I88" s="812">
        <v>32362511</v>
      </c>
      <c r="J88" s="812">
        <v>49006</v>
      </c>
      <c r="K88" s="812">
        <v>0</v>
      </c>
      <c r="L88" s="812">
        <v>0</v>
      </c>
      <c r="M88" s="812">
        <v>32313505</v>
      </c>
      <c r="N88" s="812">
        <v>0</v>
      </c>
      <c r="O88" s="812">
        <v>0</v>
      </c>
      <c r="P88" s="812">
        <v>0</v>
      </c>
      <c r="Q88" s="812">
        <v>0</v>
      </c>
      <c r="R88" s="812">
        <v>23632306</v>
      </c>
      <c r="S88" s="789">
        <f t="shared" si="11"/>
        <v>55945811</v>
      </c>
      <c r="T88" s="783">
        <f t="shared" si="10"/>
        <v>0.15142829924414705</v>
      </c>
      <c r="U88" s="821">
        <f t="shared" si="22"/>
        <v>0</v>
      </c>
    </row>
    <row r="89" spans="1:21" ht="24.75" customHeight="1">
      <c r="A89" s="854" t="s">
        <v>733</v>
      </c>
      <c r="B89" s="856" t="s">
        <v>830</v>
      </c>
      <c r="C89" s="812">
        <v>8992390</v>
      </c>
      <c r="D89" s="812">
        <v>8845125</v>
      </c>
      <c r="E89" s="812">
        <v>147265</v>
      </c>
      <c r="F89" s="812">
        <v>0</v>
      </c>
      <c r="G89" s="812">
        <v>0</v>
      </c>
      <c r="H89" s="812">
        <v>8992390</v>
      </c>
      <c r="I89" s="812">
        <v>6259086</v>
      </c>
      <c r="J89" s="812">
        <v>128627</v>
      </c>
      <c r="K89" s="812">
        <v>0</v>
      </c>
      <c r="L89" s="812">
        <v>0</v>
      </c>
      <c r="M89" s="812">
        <v>6130459</v>
      </c>
      <c r="N89" s="812">
        <v>0</v>
      </c>
      <c r="O89" s="812">
        <v>0</v>
      </c>
      <c r="P89" s="812">
        <v>0</v>
      </c>
      <c r="Q89" s="812">
        <v>0</v>
      </c>
      <c r="R89" s="812">
        <v>2733304</v>
      </c>
      <c r="S89" s="789">
        <f t="shared" si="11"/>
        <v>8863763</v>
      </c>
      <c r="T89" s="783">
        <f t="shared" si="10"/>
        <v>2.0550444585679126</v>
      </c>
      <c r="U89" s="821">
        <f t="shared" si="22"/>
        <v>0</v>
      </c>
    </row>
    <row r="90" spans="1:21" s="822" customFormat="1" ht="24.75" customHeight="1">
      <c r="A90" s="907">
        <v>11</v>
      </c>
      <c r="B90" s="910" t="s">
        <v>734</v>
      </c>
      <c r="C90" s="823">
        <f>SUM(C91:C93)</f>
        <v>14402937</v>
      </c>
      <c r="D90" s="823">
        <f aca="true" t="shared" si="24" ref="D90:R90">SUM(D91:D93)</f>
        <v>9423123</v>
      </c>
      <c r="E90" s="823">
        <f t="shared" si="24"/>
        <v>4979814</v>
      </c>
      <c r="F90" s="823">
        <f t="shared" si="24"/>
        <v>400</v>
      </c>
      <c r="G90" s="823">
        <f t="shared" si="24"/>
        <v>0</v>
      </c>
      <c r="H90" s="823">
        <f t="shared" si="24"/>
        <v>14402537</v>
      </c>
      <c r="I90" s="823">
        <f t="shared" si="24"/>
        <v>9259472</v>
      </c>
      <c r="J90" s="823">
        <f t="shared" si="24"/>
        <v>39400</v>
      </c>
      <c r="K90" s="823">
        <f t="shared" si="24"/>
        <v>0</v>
      </c>
      <c r="L90" s="823">
        <f t="shared" si="24"/>
        <v>0</v>
      </c>
      <c r="M90" s="823">
        <f t="shared" si="24"/>
        <v>8980998</v>
      </c>
      <c r="N90" s="823">
        <f t="shared" si="24"/>
        <v>0</v>
      </c>
      <c r="O90" s="823">
        <f t="shared" si="24"/>
        <v>0</v>
      </c>
      <c r="P90" s="823">
        <f t="shared" si="24"/>
        <v>0</v>
      </c>
      <c r="Q90" s="823">
        <f t="shared" si="24"/>
        <v>239074</v>
      </c>
      <c r="R90" s="823">
        <f t="shared" si="24"/>
        <v>5143065</v>
      </c>
      <c r="S90" s="823">
        <f>SUM(S91:S93)</f>
        <v>9791046</v>
      </c>
      <c r="T90" s="820">
        <f t="shared" si="10"/>
        <v>0.4255102234771053</v>
      </c>
      <c r="U90" s="821">
        <f t="shared" si="22"/>
        <v>0</v>
      </c>
    </row>
    <row r="91" spans="1:21" s="715" customFormat="1" ht="24.75" customHeight="1">
      <c r="A91" s="854" t="s">
        <v>735</v>
      </c>
      <c r="B91" s="853" t="s">
        <v>736</v>
      </c>
      <c r="C91" s="812">
        <v>6138784</v>
      </c>
      <c r="D91" s="812">
        <v>5762011</v>
      </c>
      <c r="E91" s="812">
        <v>376773</v>
      </c>
      <c r="F91" s="812">
        <v>400</v>
      </c>
      <c r="G91" s="812"/>
      <c r="H91" s="812">
        <v>6138384</v>
      </c>
      <c r="I91" s="812">
        <v>2109470</v>
      </c>
      <c r="J91" s="812">
        <v>9000</v>
      </c>
      <c r="K91" s="812"/>
      <c r="L91" s="814"/>
      <c r="M91" s="812">
        <v>1915996</v>
      </c>
      <c r="N91" s="812"/>
      <c r="O91" s="812"/>
      <c r="P91" s="812"/>
      <c r="Q91" s="805">
        <v>184474</v>
      </c>
      <c r="R91" s="815">
        <v>4028914</v>
      </c>
      <c r="S91" s="789">
        <f t="shared" si="11"/>
        <v>6129384</v>
      </c>
      <c r="T91" s="783">
        <f t="shared" si="10"/>
        <v>0.4266474517295814</v>
      </c>
      <c r="U91" s="821">
        <f t="shared" si="22"/>
        <v>0</v>
      </c>
    </row>
    <row r="92" spans="1:21" ht="24.75" customHeight="1">
      <c r="A92" s="854" t="s">
        <v>737</v>
      </c>
      <c r="B92" s="853" t="s">
        <v>738</v>
      </c>
      <c r="C92" s="812">
        <v>3692062</v>
      </c>
      <c r="D92" s="812">
        <v>3661112</v>
      </c>
      <c r="E92" s="812">
        <v>30950</v>
      </c>
      <c r="F92" s="812"/>
      <c r="G92" s="812"/>
      <c r="H92" s="812">
        <v>3692062</v>
      </c>
      <c r="I92" s="812">
        <v>2577911</v>
      </c>
      <c r="J92" s="812">
        <v>30400</v>
      </c>
      <c r="K92" s="812"/>
      <c r="L92" s="814"/>
      <c r="M92" s="812">
        <v>2492911</v>
      </c>
      <c r="N92" s="812"/>
      <c r="O92" s="812"/>
      <c r="P92" s="812"/>
      <c r="Q92" s="805">
        <v>54600</v>
      </c>
      <c r="R92" s="815">
        <v>1114151</v>
      </c>
      <c r="S92" s="789">
        <f t="shared" si="11"/>
        <v>3661662</v>
      </c>
      <c r="T92" s="783">
        <f t="shared" si="10"/>
        <v>1.179249399998681</v>
      </c>
      <c r="U92" s="821">
        <f t="shared" si="22"/>
        <v>0</v>
      </c>
    </row>
    <row r="93" spans="1:21" ht="24.75" customHeight="1">
      <c r="A93" s="854" t="s">
        <v>831</v>
      </c>
      <c r="B93" s="853" t="s">
        <v>832</v>
      </c>
      <c r="C93" s="812">
        <v>4572091</v>
      </c>
      <c r="D93" s="812">
        <v>0</v>
      </c>
      <c r="E93" s="812">
        <v>4572091</v>
      </c>
      <c r="F93" s="812"/>
      <c r="G93" s="812"/>
      <c r="H93" s="812">
        <v>4572091</v>
      </c>
      <c r="I93" s="812">
        <v>4572091</v>
      </c>
      <c r="J93" s="812">
        <v>0</v>
      </c>
      <c r="K93" s="812">
        <v>0</v>
      </c>
      <c r="L93" s="814"/>
      <c r="M93" s="812">
        <v>4572091</v>
      </c>
      <c r="N93" s="812"/>
      <c r="O93" s="812"/>
      <c r="P93" s="812"/>
      <c r="Q93" s="805"/>
      <c r="R93" s="815"/>
      <c r="S93" s="789"/>
      <c r="T93" s="783"/>
      <c r="U93" s="821">
        <f t="shared" si="22"/>
        <v>0</v>
      </c>
    </row>
    <row r="94" spans="1:21" s="822" customFormat="1" ht="24.75" customHeight="1">
      <c r="A94" s="907">
        <v>12</v>
      </c>
      <c r="B94" s="910" t="s">
        <v>739</v>
      </c>
      <c r="C94" s="823">
        <f>SUM(C95:C97)</f>
        <v>20476844</v>
      </c>
      <c r="D94" s="823">
        <f aca="true" t="shared" si="25" ref="D94:R94">SUM(D95:D97)</f>
        <v>19340047</v>
      </c>
      <c r="E94" s="823">
        <f t="shared" si="25"/>
        <v>1136797</v>
      </c>
      <c r="F94" s="823">
        <f t="shared" si="25"/>
        <v>0</v>
      </c>
      <c r="G94" s="823">
        <f t="shared" si="25"/>
        <v>0</v>
      </c>
      <c r="H94" s="823">
        <f t="shared" si="25"/>
        <v>20476844</v>
      </c>
      <c r="I94" s="823">
        <f t="shared" si="25"/>
        <v>17948762</v>
      </c>
      <c r="J94" s="823">
        <f t="shared" si="25"/>
        <v>312115</v>
      </c>
      <c r="K94" s="823">
        <f t="shared" si="25"/>
        <v>29521</v>
      </c>
      <c r="L94" s="823">
        <f t="shared" si="25"/>
        <v>0</v>
      </c>
      <c r="M94" s="823">
        <f t="shared" si="25"/>
        <v>17607126</v>
      </c>
      <c r="N94" s="823">
        <f t="shared" si="25"/>
        <v>0</v>
      </c>
      <c r="O94" s="823">
        <f t="shared" si="25"/>
        <v>0</v>
      </c>
      <c r="P94" s="823">
        <f t="shared" si="25"/>
        <v>0</v>
      </c>
      <c r="Q94" s="823">
        <f t="shared" si="25"/>
        <v>0</v>
      </c>
      <c r="R94" s="823">
        <f t="shared" si="25"/>
        <v>2528082</v>
      </c>
      <c r="S94" s="823">
        <f t="shared" si="11"/>
        <v>20135208</v>
      </c>
      <c r="T94" s="820">
        <f t="shared" si="10"/>
        <v>1.9033958999512057</v>
      </c>
      <c r="U94" s="821">
        <f t="shared" si="22"/>
        <v>0</v>
      </c>
    </row>
    <row r="95" spans="1:21" ht="24.75" customHeight="1">
      <c r="A95" s="849">
        <v>12.1</v>
      </c>
      <c r="B95" s="858" t="s">
        <v>777</v>
      </c>
      <c r="C95" s="804">
        <f>D95+E95</f>
        <v>5323518</v>
      </c>
      <c r="D95" s="804">
        <v>5158463</v>
      </c>
      <c r="E95" s="804">
        <v>165055</v>
      </c>
      <c r="F95" s="804">
        <v>0</v>
      </c>
      <c r="G95" s="804">
        <v>0</v>
      </c>
      <c r="H95" s="804">
        <f>C95-F95-G95</f>
        <v>5323518</v>
      </c>
      <c r="I95" s="804">
        <f>H95-R95</f>
        <v>5171923</v>
      </c>
      <c r="J95" s="804">
        <v>119055</v>
      </c>
      <c r="K95" s="804">
        <v>0</v>
      </c>
      <c r="L95" s="804"/>
      <c r="M95" s="804">
        <f>I95-J95-K95-N95</f>
        <v>5052868</v>
      </c>
      <c r="N95" s="804"/>
      <c r="O95" s="804"/>
      <c r="P95" s="804"/>
      <c r="Q95" s="804"/>
      <c r="R95" s="804">
        <v>151595</v>
      </c>
      <c r="S95" s="789">
        <f t="shared" si="11"/>
        <v>5204463</v>
      </c>
      <c r="T95" s="783">
        <f t="shared" si="10"/>
        <v>2.3019484242128123</v>
      </c>
      <c r="U95" s="821">
        <f t="shared" si="22"/>
        <v>0</v>
      </c>
    </row>
    <row r="96" spans="1:21" ht="24.75" customHeight="1">
      <c r="A96" s="849">
        <v>12.2</v>
      </c>
      <c r="B96" s="858" t="s">
        <v>804</v>
      </c>
      <c r="C96" s="804">
        <f>D96+E96</f>
        <v>12359703</v>
      </c>
      <c r="D96" s="804">
        <v>11428552</v>
      </c>
      <c r="E96" s="804">
        <v>931151</v>
      </c>
      <c r="F96" s="804">
        <v>0</v>
      </c>
      <c r="G96" s="804">
        <v>0</v>
      </c>
      <c r="H96" s="804">
        <f>C96-F96-G96</f>
        <v>12359703</v>
      </c>
      <c r="I96" s="804">
        <f>H96-R96</f>
        <v>10392165</v>
      </c>
      <c r="J96" s="804">
        <v>58391</v>
      </c>
      <c r="K96" s="804">
        <v>12586</v>
      </c>
      <c r="L96" s="804"/>
      <c r="M96" s="804">
        <f>I96-J96-K96-N96</f>
        <v>10321188</v>
      </c>
      <c r="N96" s="804">
        <v>0</v>
      </c>
      <c r="O96" s="804"/>
      <c r="P96" s="804"/>
      <c r="Q96" s="804"/>
      <c r="R96" s="804">
        <v>1967538</v>
      </c>
      <c r="S96" s="789">
        <f t="shared" si="11"/>
        <v>12288726</v>
      </c>
      <c r="T96" s="783">
        <f t="shared" si="10"/>
        <v>0.6829856916244114</v>
      </c>
      <c r="U96" s="821">
        <f t="shared" si="22"/>
        <v>0</v>
      </c>
    </row>
    <row r="97" spans="1:21" s="715" customFormat="1" ht="24.75" customHeight="1">
      <c r="A97" s="849">
        <v>12.3</v>
      </c>
      <c r="B97" s="858" t="s">
        <v>805</v>
      </c>
      <c r="C97" s="804">
        <f>D97+E97</f>
        <v>2793623</v>
      </c>
      <c r="D97" s="804">
        <v>2753032</v>
      </c>
      <c r="E97" s="804">
        <v>40591</v>
      </c>
      <c r="F97" s="804"/>
      <c r="G97" s="804"/>
      <c r="H97" s="804">
        <f>C97-F97-G97</f>
        <v>2793623</v>
      </c>
      <c r="I97" s="804">
        <f>H97-R97</f>
        <v>2384674</v>
      </c>
      <c r="J97" s="804">
        <v>134669</v>
      </c>
      <c r="K97" s="804">
        <v>16935</v>
      </c>
      <c r="L97" s="804"/>
      <c r="M97" s="804">
        <f>I97-J97-K97-N97</f>
        <v>2233070</v>
      </c>
      <c r="N97" s="804"/>
      <c r="O97" s="804"/>
      <c r="P97" s="804"/>
      <c r="Q97" s="804"/>
      <c r="R97" s="804">
        <v>408949</v>
      </c>
      <c r="S97" s="789">
        <f t="shared" si="11"/>
        <v>2642019</v>
      </c>
      <c r="T97" s="783">
        <f t="shared" si="10"/>
        <v>6.357430827022897</v>
      </c>
      <c r="U97" s="821">
        <f t="shared" si="22"/>
        <v>0</v>
      </c>
    </row>
    <row r="98" spans="1:21" s="822" customFormat="1" ht="24.75" customHeight="1">
      <c r="A98" s="907">
        <v>13</v>
      </c>
      <c r="B98" s="910" t="s">
        <v>741</v>
      </c>
      <c r="C98" s="823">
        <f>SUM(C99:C108)</f>
        <v>544840501</v>
      </c>
      <c r="D98" s="823">
        <f aca="true" t="shared" si="26" ref="D98:R98">SUM(D99:D108)</f>
        <v>490843881</v>
      </c>
      <c r="E98" s="823">
        <f t="shared" si="26"/>
        <v>53996620</v>
      </c>
      <c r="F98" s="823">
        <f t="shared" si="26"/>
        <v>375637</v>
      </c>
      <c r="G98" s="823">
        <f t="shared" si="26"/>
        <v>0</v>
      </c>
      <c r="H98" s="823">
        <f t="shared" si="26"/>
        <v>544464864</v>
      </c>
      <c r="I98" s="823">
        <f t="shared" si="26"/>
        <v>396791226</v>
      </c>
      <c r="J98" s="823">
        <f t="shared" si="26"/>
        <v>14903683</v>
      </c>
      <c r="K98" s="823">
        <f t="shared" si="26"/>
        <v>2282160</v>
      </c>
      <c r="L98" s="823">
        <f t="shared" si="26"/>
        <v>0</v>
      </c>
      <c r="M98" s="823">
        <f t="shared" si="26"/>
        <v>379605383</v>
      </c>
      <c r="N98" s="823">
        <f t="shared" si="26"/>
        <v>0</v>
      </c>
      <c r="O98" s="823">
        <f t="shared" si="26"/>
        <v>0</v>
      </c>
      <c r="P98" s="823">
        <f t="shared" si="26"/>
        <v>0</v>
      </c>
      <c r="Q98" s="823">
        <f t="shared" si="26"/>
        <v>0</v>
      </c>
      <c r="R98" s="823">
        <f t="shared" si="26"/>
        <v>147673638</v>
      </c>
      <c r="S98" s="823">
        <f t="shared" si="11"/>
        <v>527279021</v>
      </c>
      <c r="T98" s="820">
        <f t="shared" si="10"/>
        <v>4.331205398175816</v>
      </c>
      <c r="U98" s="821">
        <f t="shared" si="22"/>
        <v>0</v>
      </c>
    </row>
    <row r="99" spans="1:21" ht="24.75" customHeight="1">
      <c r="A99" s="849">
        <v>13.1</v>
      </c>
      <c r="B99" s="859" t="s">
        <v>834</v>
      </c>
      <c r="C99" s="798">
        <f>D99+E99</f>
        <v>73360331</v>
      </c>
      <c r="D99" s="798">
        <v>70063853</v>
      </c>
      <c r="E99" s="798">
        <v>3296478</v>
      </c>
      <c r="F99" s="798">
        <v>0</v>
      </c>
      <c r="G99" s="798">
        <v>0</v>
      </c>
      <c r="H99" s="798">
        <f>I99+R99</f>
        <v>73360331</v>
      </c>
      <c r="I99" s="798">
        <f>J99+K99+L99+M99+N99+O99+P99+Q99</f>
        <v>19267245</v>
      </c>
      <c r="J99" s="798">
        <v>757678</v>
      </c>
      <c r="K99" s="798">
        <v>3000</v>
      </c>
      <c r="L99" s="798">
        <v>0</v>
      </c>
      <c r="M99" s="798">
        <v>18506567</v>
      </c>
      <c r="N99" s="798">
        <v>0</v>
      </c>
      <c r="O99" s="798">
        <v>0</v>
      </c>
      <c r="P99" s="798">
        <v>0</v>
      </c>
      <c r="Q99" s="798">
        <v>0</v>
      </c>
      <c r="R99" s="799">
        <v>54093086</v>
      </c>
      <c r="S99" s="789">
        <f t="shared" si="11"/>
        <v>72599653</v>
      </c>
      <c r="T99" s="783">
        <f t="shared" si="10"/>
        <v>3.948037199921421</v>
      </c>
      <c r="U99" s="821">
        <f t="shared" si="22"/>
        <v>0</v>
      </c>
    </row>
    <row r="100" spans="1:21" ht="24.75" customHeight="1">
      <c r="A100" s="849">
        <v>13.2</v>
      </c>
      <c r="B100" s="859" t="s">
        <v>742</v>
      </c>
      <c r="C100" s="798">
        <f aca="true" t="shared" si="27" ref="C100:C108">D100+E100</f>
        <v>69857585</v>
      </c>
      <c r="D100" s="798">
        <v>45795974</v>
      </c>
      <c r="E100" s="798">
        <v>24061611</v>
      </c>
      <c r="F100" s="798">
        <v>375637</v>
      </c>
      <c r="G100" s="798">
        <v>0</v>
      </c>
      <c r="H100" s="798">
        <f aca="true" t="shared" si="28" ref="H100:H108">I100+R100</f>
        <v>69481948</v>
      </c>
      <c r="I100" s="798">
        <f aca="true" t="shared" si="29" ref="I100:I108">J100+K100+L100+M100+N100+O100+P100+Q100</f>
        <v>60924107</v>
      </c>
      <c r="J100" s="798">
        <v>71978</v>
      </c>
      <c r="K100" s="798"/>
      <c r="L100" s="798">
        <v>0</v>
      </c>
      <c r="M100" s="798">
        <v>60852129</v>
      </c>
      <c r="N100" s="798">
        <v>0</v>
      </c>
      <c r="O100" s="798">
        <v>0</v>
      </c>
      <c r="P100" s="798">
        <v>0</v>
      </c>
      <c r="Q100" s="798">
        <v>0</v>
      </c>
      <c r="R100" s="799">
        <v>8557841</v>
      </c>
      <c r="S100" s="789">
        <f t="shared" si="11"/>
        <v>69409970</v>
      </c>
      <c r="T100" s="783">
        <f t="shared" si="10"/>
        <v>0.11814370951715386</v>
      </c>
      <c r="U100" s="821">
        <f t="shared" si="22"/>
        <v>0</v>
      </c>
    </row>
    <row r="101" spans="1:21" ht="24.75" customHeight="1">
      <c r="A101" s="849">
        <v>13.3</v>
      </c>
      <c r="B101" s="859" t="s">
        <v>785</v>
      </c>
      <c r="C101" s="798">
        <f t="shared" si="27"/>
        <v>123139638</v>
      </c>
      <c r="D101" s="798">
        <v>112976050</v>
      </c>
      <c r="E101" s="798">
        <v>10163588</v>
      </c>
      <c r="F101" s="798"/>
      <c r="G101" s="798">
        <v>0</v>
      </c>
      <c r="H101" s="798">
        <f t="shared" si="28"/>
        <v>123139638</v>
      </c>
      <c r="I101" s="798">
        <f t="shared" si="29"/>
        <v>92911029</v>
      </c>
      <c r="J101" s="798">
        <v>5246617</v>
      </c>
      <c r="K101" s="798"/>
      <c r="L101" s="798">
        <v>0</v>
      </c>
      <c r="M101" s="798">
        <f>87619412+45000</f>
        <v>87664412</v>
      </c>
      <c r="N101" s="798">
        <v>0</v>
      </c>
      <c r="O101" s="798"/>
      <c r="P101" s="798"/>
      <c r="Q101" s="798">
        <v>0</v>
      </c>
      <c r="R101" s="799">
        <v>30228609</v>
      </c>
      <c r="S101" s="789">
        <f aca="true" t="shared" si="30" ref="S101:S118">SUM(M101:R101)</f>
        <v>117893021</v>
      </c>
      <c r="T101" s="783">
        <f aca="true" t="shared" si="31" ref="T101:T118">(J101+K101+L101)/I101*100</f>
        <v>5.646925942451891</v>
      </c>
      <c r="U101" s="821">
        <f t="shared" si="22"/>
        <v>0</v>
      </c>
    </row>
    <row r="102" spans="1:21" ht="24.75" customHeight="1">
      <c r="A102" s="849">
        <v>13.4</v>
      </c>
      <c r="B102" s="860" t="s">
        <v>786</v>
      </c>
      <c r="C102" s="798">
        <f t="shared" si="27"/>
        <v>64371567</v>
      </c>
      <c r="D102" s="798">
        <v>60364424</v>
      </c>
      <c r="E102" s="798">
        <v>4007143</v>
      </c>
      <c r="F102" s="798">
        <v>0</v>
      </c>
      <c r="G102" s="798">
        <v>0</v>
      </c>
      <c r="H102" s="798">
        <f t="shared" si="28"/>
        <v>64371567</v>
      </c>
      <c r="I102" s="798">
        <f t="shared" si="29"/>
        <v>58224824</v>
      </c>
      <c r="J102" s="798">
        <v>3120864</v>
      </c>
      <c r="K102" s="798">
        <v>10000</v>
      </c>
      <c r="L102" s="798">
        <v>0</v>
      </c>
      <c r="M102" s="798">
        <v>55093960</v>
      </c>
      <c r="N102" s="798">
        <v>0</v>
      </c>
      <c r="O102" s="798">
        <v>0</v>
      </c>
      <c r="P102" s="798">
        <v>0</v>
      </c>
      <c r="Q102" s="798">
        <v>0</v>
      </c>
      <c r="R102" s="799">
        <v>6146743</v>
      </c>
      <c r="S102" s="789">
        <f t="shared" si="30"/>
        <v>61240703</v>
      </c>
      <c r="T102" s="783">
        <f t="shared" si="31"/>
        <v>5.377197876974261</v>
      </c>
      <c r="U102" s="821">
        <f t="shared" si="22"/>
        <v>0</v>
      </c>
    </row>
    <row r="103" spans="1:21" ht="24.75" customHeight="1">
      <c r="A103" s="849">
        <v>13.5</v>
      </c>
      <c r="B103" s="861" t="s">
        <v>835</v>
      </c>
      <c r="C103" s="798">
        <f t="shared" si="27"/>
        <v>37315962</v>
      </c>
      <c r="D103" s="798">
        <v>37292491</v>
      </c>
      <c r="E103" s="798">
        <v>23471</v>
      </c>
      <c r="F103" s="798"/>
      <c r="G103" s="798"/>
      <c r="H103" s="798">
        <f t="shared" si="28"/>
        <v>37315962</v>
      </c>
      <c r="I103" s="798">
        <f>J103+K103+L103+M103+N103+O103+P103+Q103</f>
        <v>36392383</v>
      </c>
      <c r="J103" s="798">
        <v>75486</v>
      </c>
      <c r="K103" s="798"/>
      <c r="L103" s="798">
        <v>0</v>
      </c>
      <c r="M103" s="798">
        <v>36316897</v>
      </c>
      <c r="N103" s="798">
        <v>0</v>
      </c>
      <c r="O103" s="798"/>
      <c r="P103" s="798">
        <v>0</v>
      </c>
      <c r="Q103" s="798">
        <v>0</v>
      </c>
      <c r="R103" s="799">
        <v>923579</v>
      </c>
      <c r="S103" s="789">
        <f t="shared" si="30"/>
        <v>37240476</v>
      </c>
      <c r="T103" s="783">
        <f t="shared" si="31"/>
        <v>0.20742252575216086</v>
      </c>
      <c r="U103" s="821">
        <f t="shared" si="22"/>
        <v>0</v>
      </c>
    </row>
    <row r="104" spans="1:21" ht="24.75" customHeight="1">
      <c r="A104" s="849">
        <v>13.6</v>
      </c>
      <c r="B104" s="861" t="s">
        <v>787</v>
      </c>
      <c r="C104" s="798">
        <f t="shared" si="27"/>
        <v>45350520</v>
      </c>
      <c r="D104" s="798">
        <v>44303682</v>
      </c>
      <c r="E104" s="798">
        <v>1046838</v>
      </c>
      <c r="F104" s="798">
        <v>0</v>
      </c>
      <c r="G104" s="798">
        <v>0</v>
      </c>
      <c r="H104" s="798">
        <f t="shared" si="28"/>
        <v>45350520</v>
      </c>
      <c r="I104" s="798">
        <f t="shared" si="29"/>
        <v>36541261</v>
      </c>
      <c r="J104" s="798">
        <v>1509100</v>
      </c>
      <c r="K104" s="798">
        <v>331745</v>
      </c>
      <c r="L104" s="798"/>
      <c r="M104" s="798">
        <v>34700416</v>
      </c>
      <c r="N104" s="798">
        <v>0</v>
      </c>
      <c r="O104" s="798"/>
      <c r="P104" s="798">
        <v>0</v>
      </c>
      <c r="Q104" s="798">
        <v>0</v>
      </c>
      <c r="R104" s="799">
        <v>8809259</v>
      </c>
      <c r="S104" s="789">
        <f t="shared" si="30"/>
        <v>43509675</v>
      </c>
      <c r="T104" s="783">
        <f t="shared" si="31"/>
        <v>5.0377161313617504</v>
      </c>
      <c r="U104" s="821">
        <f t="shared" si="22"/>
        <v>0</v>
      </c>
    </row>
    <row r="105" spans="1:21" ht="24.75" customHeight="1">
      <c r="A105" s="849">
        <v>13.7</v>
      </c>
      <c r="B105" s="861" t="s">
        <v>836</v>
      </c>
      <c r="C105" s="798">
        <f t="shared" si="27"/>
        <v>25525497</v>
      </c>
      <c r="D105" s="798">
        <v>20115801</v>
      </c>
      <c r="E105" s="798">
        <v>5409696</v>
      </c>
      <c r="F105" s="798">
        <v>0</v>
      </c>
      <c r="G105" s="798">
        <v>0</v>
      </c>
      <c r="H105" s="798">
        <f t="shared" si="28"/>
        <v>25525497</v>
      </c>
      <c r="I105" s="798">
        <f t="shared" si="29"/>
        <v>23075536</v>
      </c>
      <c r="J105" s="798">
        <v>1218282</v>
      </c>
      <c r="K105" s="798">
        <v>498276</v>
      </c>
      <c r="L105" s="798">
        <v>0</v>
      </c>
      <c r="M105" s="798">
        <v>21358978</v>
      </c>
      <c r="N105" s="798">
        <v>0</v>
      </c>
      <c r="O105" s="798">
        <v>0</v>
      </c>
      <c r="P105" s="798">
        <v>0</v>
      </c>
      <c r="Q105" s="798">
        <v>0</v>
      </c>
      <c r="R105" s="799">
        <v>2449961</v>
      </c>
      <c r="S105" s="789">
        <f t="shared" si="30"/>
        <v>23808939</v>
      </c>
      <c r="T105" s="783">
        <f t="shared" si="31"/>
        <v>7.438865125386469</v>
      </c>
      <c r="U105" s="821">
        <f t="shared" si="22"/>
        <v>0</v>
      </c>
    </row>
    <row r="106" spans="1:21" s="715" customFormat="1" ht="24.75" customHeight="1">
      <c r="A106" s="849">
        <v>13.8</v>
      </c>
      <c r="B106" s="859" t="s">
        <v>837</v>
      </c>
      <c r="C106" s="798">
        <f t="shared" si="27"/>
        <v>16809805</v>
      </c>
      <c r="D106" s="798">
        <v>14119271</v>
      </c>
      <c r="E106" s="798">
        <v>2690534</v>
      </c>
      <c r="F106" s="798"/>
      <c r="G106" s="798">
        <v>0</v>
      </c>
      <c r="H106" s="798">
        <f t="shared" si="28"/>
        <v>16809805</v>
      </c>
      <c r="I106" s="798">
        <f t="shared" si="29"/>
        <v>13385074</v>
      </c>
      <c r="J106" s="798">
        <v>41411</v>
      </c>
      <c r="K106" s="798">
        <v>2640</v>
      </c>
      <c r="L106" s="798">
        <v>0</v>
      </c>
      <c r="M106" s="798">
        <v>13341023</v>
      </c>
      <c r="N106" s="798">
        <v>0</v>
      </c>
      <c r="O106" s="798">
        <v>0</v>
      </c>
      <c r="P106" s="798">
        <v>0</v>
      </c>
      <c r="Q106" s="798">
        <v>0</v>
      </c>
      <c r="R106" s="799">
        <v>3424731</v>
      </c>
      <c r="S106" s="789">
        <f t="shared" si="30"/>
        <v>16765754</v>
      </c>
      <c r="T106" s="783">
        <f t="shared" si="31"/>
        <v>0.32910539007853074</v>
      </c>
      <c r="U106" s="821">
        <f t="shared" si="22"/>
        <v>0</v>
      </c>
    </row>
    <row r="107" spans="1:21" ht="24.75" customHeight="1">
      <c r="A107" s="849">
        <v>13.9</v>
      </c>
      <c r="B107" s="859" t="s">
        <v>788</v>
      </c>
      <c r="C107" s="798">
        <f t="shared" si="27"/>
        <v>57319602</v>
      </c>
      <c r="D107" s="798">
        <v>55697204</v>
      </c>
      <c r="E107" s="798">
        <v>1622398</v>
      </c>
      <c r="F107" s="798">
        <v>0</v>
      </c>
      <c r="G107" s="798">
        <v>0</v>
      </c>
      <c r="H107" s="798">
        <f>I107+R107</f>
        <v>57319602</v>
      </c>
      <c r="I107" s="798">
        <f t="shared" si="29"/>
        <v>37714322</v>
      </c>
      <c r="J107" s="798">
        <v>2834636</v>
      </c>
      <c r="K107" s="798">
        <v>1436499</v>
      </c>
      <c r="L107" s="798">
        <v>0</v>
      </c>
      <c r="M107" s="798">
        <v>33443187</v>
      </c>
      <c r="N107" s="798">
        <v>0</v>
      </c>
      <c r="O107" s="798">
        <v>0</v>
      </c>
      <c r="P107" s="798">
        <v>0</v>
      </c>
      <c r="Q107" s="798">
        <v>0</v>
      </c>
      <c r="R107" s="799">
        <v>19605280</v>
      </c>
      <c r="S107" s="789">
        <f t="shared" si="30"/>
        <v>53048467</v>
      </c>
      <c r="T107" s="783">
        <f t="shared" si="31"/>
        <v>11.324968270674466</v>
      </c>
      <c r="U107" s="821">
        <f t="shared" si="22"/>
        <v>0</v>
      </c>
    </row>
    <row r="108" spans="1:21" ht="24.75" customHeight="1">
      <c r="A108" s="849" t="s">
        <v>789</v>
      </c>
      <c r="B108" s="859" t="s">
        <v>687</v>
      </c>
      <c r="C108" s="798">
        <f t="shared" si="27"/>
        <v>31789994</v>
      </c>
      <c r="D108" s="798">
        <v>30115131</v>
      </c>
      <c r="E108" s="798">
        <v>1674863</v>
      </c>
      <c r="F108" s="798">
        <v>0</v>
      </c>
      <c r="G108" s="798">
        <v>0</v>
      </c>
      <c r="H108" s="798">
        <f t="shared" si="28"/>
        <v>31789994</v>
      </c>
      <c r="I108" s="798">
        <f t="shared" si="29"/>
        <v>18355445</v>
      </c>
      <c r="J108" s="798">
        <v>27631</v>
      </c>
      <c r="K108" s="798"/>
      <c r="L108" s="798">
        <v>0</v>
      </c>
      <c r="M108" s="798">
        <v>18327814</v>
      </c>
      <c r="N108" s="798">
        <v>0</v>
      </c>
      <c r="O108" s="798">
        <v>0</v>
      </c>
      <c r="P108" s="798">
        <v>0</v>
      </c>
      <c r="Q108" s="798">
        <v>0</v>
      </c>
      <c r="R108" s="799">
        <v>13434549</v>
      </c>
      <c r="S108" s="789">
        <f t="shared" si="30"/>
        <v>31762363</v>
      </c>
      <c r="T108" s="783">
        <f t="shared" si="31"/>
        <v>0.15053298898501233</v>
      </c>
      <c r="U108" s="821">
        <f t="shared" si="22"/>
        <v>0</v>
      </c>
    </row>
    <row r="109" spans="1:21" s="822" customFormat="1" ht="24.75" customHeight="1">
      <c r="A109" s="907">
        <v>14</v>
      </c>
      <c r="B109" s="910" t="s">
        <v>743</v>
      </c>
      <c r="C109" s="823">
        <f>C110+C111+C112+C113</f>
        <v>19185386</v>
      </c>
      <c r="D109" s="823">
        <f aca="true" t="shared" si="32" ref="D109:R109">D110+D111+D112+D113</f>
        <v>14654948</v>
      </c>
      <c r="E109" s="823">
        <f t="shared" si="32"/>
        <v>4530438</v>
      </c>
      <c r="F109" s="823">
        <f t="shared" si="32"/>
        <v>6400</v>
      </c>
      <c r="G109" s="823">
        <f t="shared" si="32"/>
        <v>0</v>
      </c>
      <c r="H109" s="823">
        <f t="shared" si="32"/>
        <v>19178986</v>
      </c>
      <c r="I109" s="823">
        <f t="shared" si="32"/>
        <v>12265356</v>
      </c>
      <c r="J109" s="823">
        <f t="shared" si="32"/>
        <v>715062</v>
      </c>
      <c r="K109" s="823">
        <f t="shared" si="32"/>
        <v>444000</v>
      </c>
      <c r="L109" s="823">
        <f t="shared" si="32"/>
        <v>0</v>
      </c>
      <c r="M109" s="823">
        <f t="shared" si="32"/>
        <v>11106294</v>
      </c>
      <c r="N109" s="823">
        <f t="shared" si="32"/>
        <v>0</v>
      </c>
      <c r="O109" s="823">
        <f t="shared" si="32"/>
        <v>0</v>
      </c>
      <c r="P109" s="823">
        <f t="shared" si="32"/>
        <v>0</v>
      </c>
      <c r="Q109" s="823">
        <f t="shared" si="32"/>
        <v>0</v>
      </c>
      <c r="R109" s="823">
        <f t="shared" si="32"/>
        <v>6913630</v>
      </c>
      <c r="S109" s="823">
        <f t="shared" si="30"/>
        <v>18019924</v>
      </c>
      <c r="T109" s="820">
        <f t="shared" si="31"/>
        <v>9.449884699636929</v>
      </c>
      <c r="U109" s="821">
        <f t="shared" si="22"/>
        <v>0</v>
      </c>
    </row>
    <row r="110" spans="1:21" ht="24.75" customHeight="1">
      <c r="A110" s="854" t="s">
        <v>744</v>
      </c>
      <c r="B110" s="862" t="s">
        <v>745</v>
      </c>
      <c r="C110" s="787">
        <f>D110+E110</f>
        <v>6910248</v>
      </c>
      <c r="D110" s="787">
        <v>5955348</v>
      </c>
      <c r="E110" s="787">
        <v>954900</v>
      </c>
      <c r="F110" s="787">
        <v>6400</v>
      </c>
      <c r="G110" s="787">
        <v>0</v>
      </c>
      <c r="H110" s="787">
        <f>I110+R110</f>
        <v>6903848</v>
      </c>
      <c r="I110" s="787">
        <f>SUM(J110,K110,L110,M110,N110,O110,P110,Q110)</f>
        <v>1361522</v>
      </c>
      <c r="J110" s="787">
        <v>34671</v>
      </c>
      <c r="K110" s="787">
        <v>0</v>
      </c>
      <c r="L110" s="787">
        <v>0</v>
      </c>
      <c r="M110" s="787">
        <v>1326851</v>
      </c>
      <c r="N110" s="787">
        <v>0</v>
      </c>
      <c r="O110" s="805">
        <v>0</v>
      </c>
      <c r="P110" s="805">
        <v>0</v>
      </c>
      <c r="Q110" s="805">
        <v>0</v>
      </c>
      <c r="R110" s="816">
        <v>5542326</v>
      </c>
      <c r="S110" s="789">
        <f t="shared" si="30"/>
        <v>6869177</v>
      </c>
      <c r="T110" s="783">
        <f t="shared" si="31"/>
        <v>2.546488415170669</v>
      </c>
      <c r="U110" s="821">
        <f t="shared" si="22"/>
        <v>0</v>
      </c>
    </row>
    <row r="111" spans="1:21" ht="24.75" customHeight="1">
      <c r="A111" s="854" t="s">
        <v>746</v>
      </c>
      <c r="B111" s="862" t="s">
        <v>747</v>
      </c>
      <c r="C111" s="787">
        <f>D111+E111</f>
        <v>8482476</v>
      </c>
      <c r="D111" s="787">
        <v>5851828</v>
      </c>
      <c r="E111" s="787">
        <v>2630648</v>
      </c>
      <c r="F111" s="787">
        <v>0</v>
      </c>
      <c r="G111" s="787">
        <v>0</v>
      </c>
      <c r="H111" s="787">
        <f>SUM(I111,R111)</f>
        <v>8482476</v>
      </c>
      <c r="I111" s="787">
        <f>SUM(J111,K111,L111,M111,N111,O111,P111,Q111)</f>
        <v>7615833</v>
      </c>
      <c r="J111" s="787">
        <v>198403</v>
      </c>
      <c r="K111" s="787">
        <v>444000</v>
      </c>
      <c r="L111" s="787">
        <v>0</v>
      </c>
      <c r="M111" s="787">
        <v>6973430</v>
      </c>
      <c r="N111" s="787">
        <v>0</v>
      </c>
      <c r="O111" s="805">
        <v>0</v>
      </c>
      <c r="P111" s="805">
        <v>0</v>
      </c>
      <c r="Q111" s="805">
        <v>0</v>
      </c>
      <c r="R111" s="816">
        <v>866643</v>
      </c>
      <c r="S111" s="789">
        <f t="shared" si="30"/>
        <v>7840073</v>
      </c>
      <c r="T111" s="783">
        <f t="shared" si="31"/>
        <v>8.43509830113134</v>
      </c>
      <c r="U111" s="821">
        <f t="shared" si="22"/>
        <v>0</v>
      </c>
    </row>
    <row r="112" spans="1:21" s="715" customFormat="1" ht="24.75" customHeight="1">
      <c r="A112" s="854" t="s">
        <v>845</v>
      </c>
      <c r="B112" s="862" t="s">
        <v>846</v>
      </c>
      <c r="C112" s="787">
        <f>D112+E112</f>
        <v>1253011</v>
      </c>
      <c r="D112" s="787">
        <v>620099</v>
      </c>
      <c r="E112" s="787">
        <v>632912</v>
      </c>
      <c r="F112" s="787">
        <v>0</v>
      </c>
      <c r="G112" s="787">
        <v>0</v>
      </c>
      <c r="H112" s="787">
        <f>SUM(I112,R112)</f>
        <v>1253011</v>
      </c>
      <c r="I112" s="787">
        <f>SUM(J112,K112,L112,M112,N112,O112,P112,Q112)</f>
        <v>1088157</v>
      </c>
      <c r="J112" s="787">
        <v>6550</v>
      </c>
      <c r="K112" s="787">
        <v>0</v>
      </c>
      <c r="L112" s="787">
        <v>0</v>
      </c>
      <c r="M112" s="787">
        <v>1081607</v>
      </c>
      <c r="N112" s="787">
        <v>0</v>
      </c>
      <c r="O112" s="805">
        <v>0</v>
      </c>
      <c r="P112" s="805">
        <v>0</v>
      </c>
      <c r="Q112" s="805">
        <v>0</v>
      </c>
      <c r="R112" s="816">
        <v>164854</v>
      </c>
      <c r="S112" s="789"/>
      <c r="T112" s="783"/>
      <c r="U112" s="821">
        <f t="shared" si="22"/>
        <v>0</v>
      </c>
    </row>
    <row r="113" spans="1:21" ht="24.75" customHeight="1">
      <c r="A113" s="854" t="s">
        <v>849</v>
      </c>
      <c r="B113" s="862" t="s">
        <v>850</v>
      </c>
      <c r="C113" s="787">
        <f>D113+E113</f>
        <v>2539651</v>
      </c>
      <c r="D113" s="787">
        <v>2227673</v>
      </c>
      <c r="E113" s="787">
        <v>311978</v>
      </c>
      <c r="F113" s="787">
        <v>0</v>
      </c>
      <c r="G113" s="787">
        <v>0</v>
      </c>
      <c r="H113" s="787">
        <f>SUM(I113,R113)</f>
        <v>2539651</v>
      </c>
      <c r="I113" s="787">
        <f>SUM(J113,K113,L113,M113,N113,O113,P113,Q113)</f>
        <v>2199844</v>
      </c>
      <c r="J113" s="787">
        <v>475438</v>
      </c>
      <c r="K113" s="787">
        <v>0</v>
      </c>
      <c r="L113" s="787">
        <v>0</v>
      </c>
      <c r="M113" s="787">
        <v>1724406</v>
      </c>
      <c r="N113" s="787">
        <v>0</v>
      </c>
      <c r="O113" s="805">
        <v>0</v>
      </c>
      <c r="P113" s="805">
        <v>0</v>
      </c>
      <c r="Q113" s="805">
        <v>0</v>
      </c>
      <c r="R113" s="816">
        <v>339807</v>
      </c>
      <c r="S113" s="789"/>
      <c r="T113" s="783"/>
      <c r="U113" s="821">
        <f t="shared" si="22"/>
        <v>0</v>
      </c>
    </row>
    <row r="114" spans="1:21" s="822" customFormat="1" ht="24.75" customHeight="1">
      <c r="A114" s="907">
        <v>15</v>
      </c>
      <c r="B114" s="910" t="s">
        <v>748</v>
      </c>
      <c r="C114" s="823">
        <f>SUM(C115:C118)</f>
        <v>44847275</v>
      </c>
      <c r="D114" s="823">
        <f aca="true" t="shared" si="33" ref="D114:R114">SUM(D115:D118)</f>
        <v>41245744</v>
      </c>
      <c r="E114" s="823">
        <f t="shared" si="33"/>
        <v>3601531</v>
      </c>
      <c r="F114" s="823">
        <f t="shared" si="33"/>
        <v>400</v>
      </c>
      <c r="G114" s="823">
        <f t="shared" si="33"/>
        <v>0</v>
      </c>
      <c r="H114" s="823">
        <f t="shared" si="33"/>
        <v>44846875</v>
      </c>
      <c r="I114" s="823">
        <f t="shared" si="33"/>
        <v>23582671</v>
      </c>
      <c r="J114" s="823">
        <f t="shared" si="33"/>
        <v>259817</v>
      </c>
      <c r="K114" s="823">
        <f t="shared" si="33"/>
        <v>460131</v>
      </c>
      <c r="L114" s="823">
        <f t="shared" si="33"/>
        <v>0</v>
      </c>
      <c r="M114" s="823">
        <f t="shared" si="33"/>
        <v>22862723</v>
      </c>
      <c r="N114" s="823">
        <f t="shared" si="33"/>
        <v>0</v>
      </c>
      <c r="O114" s="823">
        <f t="shared" si="33"/>
        <v>0</v>
      </c>
      <c r="P114" s="823">
        <f t="shared" si="33"/>
        <v>0</v>
      </c>
      <c r="Q114" s="823">
        <f t="shared" si="33"/>
        <v>0</v>
      </c>
      <c r="R114" s="823">
        <f t="shared" si="33"/>
        <v>21264204</v>
      </c>
      <c r="S114" s="823">
        <f t="shared" si="30"/>
        <v>44126927</v>
      </c>
      <c r="T114" s="820">
        <f t="shared" si="31"/>
        <v>3.052868778095577</v>
      </c>
      <c r="U114" s="821">
        <f t="shared" si="22"/>
        <v>0</v>
      </c>
    </row>
    <row r="115" spans="1:21" ht="24.75" customHeight="1">
      <c r="A115" s="849">
        <v>15.1</v>
      </c>
      <c r="B115" s="863" t="s">
        <v>749</v>
      </c>
      <c r="C115" s="784">
        <f>D115+E115</f>
        <v>11209656</v>
      </c>
      <c r="D115" s="784">
        <v>11084876</v>
      </c>
      <c r="E115" s="784">
        <v>124780</v>
      </c>
      <c r="F115" s="784">
        <v>400</v>
      </c>
      <c r="G115" s="784">
        <v>0</v>
      </c>
      <c r="H115" s="784">
        <f>C115-F115</f>
        <v>11209256</v>
      </c>
      <c r="I115" s="784">
        <f>H115-R115</f>
        <v>9507747</v>
      </c>
      <c r="J115" s="784">
        <v>109445</v>
      </c>
      <c r="K115" s="784">
        <v>0</v>
      </c>
      <c r="L115" s="784">
        <v>0</v>
      </c>
      <c r="M115" s="784">
        <f>I115-J115-K115-L115-N115-O115-P115-Q115</f>
        <v>9398302</v>
      </c>
      <c r="N115" s="784">
        <v>0</v>
      </c>
      <c r="O115" s="784">
        <v>0</v>
      </c>
      <c r="P115" s="784">
        <v>0</v>
      </c>
      <c r="Q115" s="817">
        <v>0</v>
      </c>
      <c r="R115" s="791">
        <v>1701509</v>
      </c>
      <c r="S115" s="789">
        <f t="shared" si="30"/>
        <v>11099811</v>
      </c>
      <c r="T115" s="783">
        <f t="shared" si="31"/>
        <v>1.1511139284627578</v>
      </c>
      <c r="U115" s="821">
        <f t="shared" si="22"/>
        <v>0</v>
      </c>
    </row>
    <row r="116" spans="1:21" ht="24.75" customHeight="1">
      <c r="A116" s="849">
        <v>15.2</v>
      </c>
      <c r="B116" s="863" t="s">
        <v>790</v>
      </c>
      <c r="C116" s="784">
        <f>D116+E116</f>
        <v>12692467</v>
      </c>
      <c r="D116" s="784">
        <v>9472045</v>
      </c>
      <c r="E116" s="784">
        <v>3220422</v>
      </c>
      <c r="F116" s="784">
        <v>0</v>
      </c>
      <c r="G116" s="784">
        <v>0</v>
      </c>
      <c r="H116" s="784">
        <f>C116-F116</f>
        <v>12692467</v>
      </c>
      <c r="I116" s="784">
        <f>H116-R116</f>
        <v>11664306</v>
      </c>
      <c r="J116" s="784">
        <v>86430</v>
      </c>
      <c r="K116" s="784">
        <v>0</v>
      </c>
      <c r="L116" s="784">
        <v>0</v>
      </c>
      <c r="M116" s="784">
        <f>I116-J116-K116-L116-N116-O116-P116-Q116</f>
        <v>11577876</v>
      </c>
      <c r="N116" s="784">
        <v>0</v>
      </c>
      <c r="O116" s="784">
        <v>0</v>
      </c>
      <c r="P116" s="784">
        <v>0</v>
      </c>
      <c r="Q116" s="817">
        <v>0</v>
      </c>
      <c r="R116" s="791">
        <v>1028161</v>
      </c>
      <c r="S116" s="789">
        <f t="shared" si="30"/>
        <v>12606037</v>
      </c>
      <c r="T116" s="783">
        <f t="shared" si="31"/>
        <v>0.7409785031359774</v>
      </c>
      <c r="U116" s="821">
        <f t="shared" si="22"/>
        <v>0</v>
      </c>
    </row>
    <row r="117" spans="1:21" ht="24.75" customHeight="1">
      <c r="A117" s="849">
        <v>15.3</v>
      </c>
      <c r="B117" s="863" t="s">
        <v>792</v>
      </c>
      <c r="C117" s="784">
        <f>D117+E117</f>
        <v>18519026</v>
      </c>
      <c r="D117" s="784">
        <v>18295870</v>
      </c>
      <c r="E117" s="784">
        <v>223156</v>
      </c>
      <c r="F117" s="784">
        <v>0</v>
      </c>
      <c r="G117" s="784">
        <v>0</v>
      </c>
      <c r="H117" s="784">
        <f>C117-F117</f>
        <v>18519026</v>
      </c>
      <c r="I117" s="784">
        <f>H117-R117</f>
        <v>1009855</v>
      </c>
      <c r="J117" s="784">
        <v>60929</v>
      </c>
      <c r="K117" s="784">
        <v>460131</v>
      </c>
      <c r="L117" s="784">
        <v>0</v>
      </c>
      <c r="M117" s="784">
        <f>I117-J117-K117-L117-N117-O117-P117-Q117</f>
        <v>488795</v>
      </c>
      <c r="N117" s="784">
        <v>0</v>
      </c>
      <c r="O117" s="784">
        <v>0</v>
      </c>
      <c r="P117" s="784">
        <v>0</v>
      </c>
      <c r="Q117" s="817">
        <v>0</v>
      </c>
      <c r="R117" s="791">
        <f>17514171-5000</f>
        <v>17509171</v>
      </c>
      <c r="S117" s="789">
        <f t="shared" si="30"/>
        <v>17997966</v>
      </c>
      <c r="T117" s="783">
        <f t="shared" si="31"/>
        <v>51.597506572725784</v>
      </c>
      <c r="U117" s="821">
        <f t="shared" si="22"/>
        <v>0</v>
      </c>
    </row>
    <row r="118" spans="1:21" ht="24.75" customHeight="1">
      <c r="A118" s="849">
        <v>15.4</v>
      </c>
      <c r="B118" s="863" t="s">
        <v>791</v>
      </c>
      <c r="C118" s="784">
        <f>D118+E118</f>
        <v>2426126</v>
      </c>
      <c r="D118" s="784">
        <v>2392953</v>
      </c>
      <c r="E118" s="784">
        <v>33173</v>
      </c>
      <c r="F118" s="784">
        <v>0</v>
      </c>
      <c r="G118" s="784">
        <v>0</v>
      </c>
      <c r="H118" s="784">
        <f>C118-F118</f>
        <v>2426126</v>
      </c>
      <c r="I118" s="784">
        <f>H118-R118</f>
        <v>1400763</v>
      </c>
      <c r="J118" s="784">
        <v>3013</v>
      </c>
      <c r="K118" s="784">
        <v>0</v>
      </c>
      <c r="L118" s="784">
        <v>0</v>
      </c>
      <c r="M118" s="784">
        <f>I118-J118-K118-L118-N118-O118-P118-Q118</f>
        <v>1397750</v>
      </c>
      <c r="N118" s="784">
        <v>0</v>
      </c>
      <c r="O118" s="784">
        <v>0</v>
      </c>
      <c r="P118" s="784">
        <v>0</v>
      </c>
      <c r="Q118" s="817">
        <v>0</v>
      </c>
      <c r="R118" s="791">
        <v>1025363</v>
      </c>
      <c r="S118" s="789">
        <f t="shared" si="30"/>
        <v>2423113</v>
      </c>
      <c r="T118" s="783">
        <f t="shared" si="31"/>
        <v>0.21509705781777502</v>
      </c>
      <c r="U118" s="821">
        <f t="shared" si="22"/>
        <v>0</v>
      </c>
    </row>
    <row r="119" spans="1:20" ht="21" customHeight="1">
      <c r="A119" s="1381"/>
      <c r="B119" s="1381"/>
      <c r="C119" s="1381"/>
      <c r="D119" s="1381"/>
      <c r="E119" s="1381"/>
      <c r="F119" s="841"/>
      <c r="G119" s="825"/>
      <c r="H119" s="826"/>
      <c r="I119" s="826"/>
      <c r="J119" s="825"/>
      <c r="K119" s="825"/>
      <c r="L119" s="825"/>
      <c r="M119" s="825"/>
      <c r="N119" s="825"/>
      <c r="O119" s="1380" t="s">
        <v>858</v>
      </c>
      <c r="P119" s="1380"/>
      <c r="Q119" s="1380"/>
      <c r="R119" s="1380"/>
      <c r="S119" s="1380"/>
      <c r="T119" s="1380"/>
    </row>
    <row r="120" spans="1:20" ht="21" customHeight="1">
      <c r="A120" s="827"/>
      <c r="B120" s="1379" t="s">
        <v>4</v>
      </c>
      <c r="C120" s="1379"/>
      <c r="D120" s="1379"/>
      <c r="E120" s="1379"/>
      <c r="F120" s="828"/>
      <c r="G120" s="828"/>
      <c r="H120" s="829"/>
      <c r="I120" s="829"/>
      <c r="J120" s="828"/>
      <c r="K120" s="828"/>
      <c r="L120" s="828"/>
      <c r="M120" s="828"/>
      <c r="N120" s="828"/>
      <c r="O120" s="1378" t="s">
        <v>776</v>
      </c>
      <c r="P120" s="1378"/>
      <c r="Q120" s="1378"/>
      <c r="R120" s="1378"/>
      <c r="S120" s="1378"/>
      <c r="T120" s="1378"/>
    </row>
    <row r="121" spans="1:20" ht="21" customHeight="1">
      <c r="A121" s="830"/>
      <c r="B121" s="831"/>
      <c r="C121" s="832"/>
      <c r="D121" s="833"/>
      <c r="E121" s="833"/>
      <c r="F121" s="833"/>
      <c r="G121" s="833"/>
      <c r="H121" s="832"/>
      <c r="I121" s="832"/>
      <c r="J121" s="833"/>
      <c r="K121" s="833"/>
      <c r="L121" s="833"/>
      <c r="M121" s="833"/>
      <c r="N121" s="833"/>
      <c r="O121" s="833"/>
      <c r="P121" s="833"/>
      <c r="Q121" s="833"/>
      <c r="R121" s="832"/>
      <c r="S121" s="832"/>
      <c r="T121" s="842"/>
    </row>
    <row r="122" spans="1:20" ht="60" customHeight="1">
      <c r="A122" s="834"/>
      <c r="B122" s="1354"/>
      <c r="C122" s="1354"/>
      <c r="D122" s="1354"/>
      <c r="E122" s="1354"/>
      <c r="F122" s="1354"/>
      <c r="G122" s="1354"/>
      <c r="H122" s="1354"/>
      <c r="I122" s="1354"/>
      <c r="J122" s="1354"/>
      <c r="K122" s="1354"/>
      <c r="L122" s="1354"/>
      <c r="M122" s="1354"/>
      <c r="N122" s="1354"/>
      <c r="O122" s="1354"/>
      <c r="P122" s="1354"/>
      <c r="Q122" s="833"/>
      <c r="R122" s="832"/>
      <c r="S122" s="832"/>
      <c r="T122" s="842"/>
    </row>
    <row r="123" spans="1:20" ht="18.75">
      <c r="A123" s="836"/>
      <c r="B123" s="837"/>
      <c r="C123" s="838"/>
      <c r="D123" s="839"/>
      <c r="E123" s="839"/>
      <c r="F123" s="839"/>
      <c r="G123" s="839"/>
      <c r="H123" s="838"/>
      <c r="I123" s="838"/>
      <c r="J123" s="839"/>
      <c r="K123" s="839"/>
      <c r="L123" s="839"/>
      <c r="M123" s="839"/>
      <c r="N123" s="839"/>
      <c r="O123" s="839"/>
      <c r="P123" s="839"/>
      <c r="Q123" s="839"/>
      <c r="R123" s="832"/>
      <c r="S123" s="832"/>
      <c r="T123" s="842"/>
    </row>
    <row r="124" spans="1:20" ht="18.75">
      <c r="A124" s="834"/>
      <c r="B124" s="1354" t="s">
        <v>774</v>
      </c>
      <c r="C124" s="1354"/>
      <c r="D124" s="1354"/>
      <c r="E124" s="1354"/>
      <c r="F124" s="833"/>
      <c r="G124" s="833"/>
      <c r="H124" s="832"/>
      <c r="I124" s="832"/>
      <c r="J124" s="833"/>
      <c r="K124" s="833"/>
      <c r="L124" s="833"/>
      <c r="M124" s="833"/>
      <c r="N124" s="833"/>
      <c r="O124" s="1354" t="s">
        <v>658</v>
      </c>
      <c r="P124" s="1354"/>
      <c r="Q124" s="1354"/>
      <c r="R124" s="1354"/>
      <c r="S124" s="1354"/>
      <c r="T124" s="1354"/>
    </row>
    <row r="125" spans="1:20" ht="18.75">
      <c r="A125" s="843"/>
      <c r="B125" s="1374"/>
      <c r="C125" s="1374"/>
      <c r="D125" s="1374"/>
      <c r="E125" s="1374"/>
      <c r="F125" s="844"/>
      <c r="G125" s="844"/>
      <c r="H125" s="845"/>
      <c r="I125" s="845"/>
      <c r="J125" s="844"/>
      <c r="K125" s="844"/>
      <c r="L125" s="844"/>
      <c r="M125" s="844"/>
      <c r="N125" s="844"/>
      <c r="O125" s="844"/>
      <c r="P125" s="1374"/>
      <c r="Q125" s="1374"/>
      <c r="R125" s="1374"/>
      <c r="S125" s="1374"/>
      <c r="T125" s="1375"/>
    </row>
  </sheetData>
  <sheetProtection/>
  <mergeCells count="35">
    <mergeCell ref="A3:D3"/>
    <mergeCell ref="E1:P1"/>
    <mergeCell ref="E2:P2"/>
    <mergeCell ref="E3:P3"/>
    <mergeCell ref="A2:D2"/>
    <mergeCell ref="Q2:T2"/>
    <mergeCell ref="H7:H9"/>
    <mergeCell ref="F6:F9"/>
    <mergeCell ref="G6:G9"/>
    <mergeCell ref="Q4:T4"/>
    <mergeCell ref="T6:T9"/>
    <mergeCell ref="I7:Q7"/>
    <mergeCell ref="R7:R9"/>
    <mergeCell ref="I8:I9"/>
    <mergeCell ref="Q5:T5"/>
    <mergeCell ref="B125:E125"/>
    <mergeCell ref="P125:T125"/>
    <mergeCell ref="B124:E124"/>
    <mergeCell ref="B122:P122"/>
    <mergeCell ref="O124:T124"/>
    <mergeCell ref="A11:B11"/>
    <mergeCell ref="O120:T120"/>
    <mergeCell ref="B120:E120"/>
    <mergeCell ref="O119:T119"/>
    <mergeCell ref="A119:E119"/>
    <mergeCell ref="A6:B9"/>
    <mergeCell ref="S6:S9"/>
    <mergeCell ref="C6:E6"/>
    <mergeCell ref="C7:C9"/>
    <mergeCell ref="H6:R6"/>
    <mergeCell ref="A10:B10"/>
    <mergeCell ref="J8:Q8"/>
    <mergeCell ref="D7:E7"/>
    <mergeCell ref="D8:D9"/>
    <mergeCell ref="E8:E9"/>
  </mergeCells>
  <printOptions/>
  <pageMargins left="0.24" right="0" top="0" bottom="0" header="0.511811023622047" footer="0.275590551181102"/>
  <pageSetup horizontalDpi="600" verticalDpi="600" orientation="landscape" paperSize="9" scale="76" r:id="rId4"/>
  <headerFooter alignWithMargins="0">
    <oddFooter>&amp;CPage &amp;P</oddFooter>
  </headerFooter>
  <ignoredErrors>
    <ignoredError sqref="C44:T45 C46:R48 C63:G63 J63 C72:I72 C76:I76 C99:R108 O98:T98 T99:T108 C109:H109 C114" formula="1"/>
    <ignoredError sqref="C58:G62 J58:T62 J73:J75 C95:N97" unlockedFormula="1"/>
    <ignoredError sqref="H58:I62 C73:I75 C98:N98 S46:T46 S47:S48 H63:I63 S99:S108 T47:T48" formulaRange="1" unlockedFormula="1"/>
    <ignoredError sqref="S50:S56 S110:S113 I26 I31" formulaRange="1"/>
    <ignoredError sqref="C73:I75 C98:N98" formula="1" unlockedFormula="1"/>
    <ignoredError sqref="S46:T46 S47:S48 H63:I63 S99:S108" formula="1" formulaRange="1"/>
    <ignoredError sqref="T47:T48" evalError="1" formula="1" formulaRange="1"/>
  </ignoredErrors>
  <drawing r:id="rId3"/>
  <legacyDrawing r:id="rId2"/>
</worksheet>
</file>

<file path=xl/worksheets/sheet24.xml><?xml version="1.0" encoding="utf-8"?>
<worksheet xmlns="http://schemas.openxmlformats.org/spreadsheetml/2006/main" xmlns:r="http://schemas.openxmlformats.org/officeDocument/2006/relationships">
  <sheetPr>
    <tabColor indexed="10"/>
  </sheetPr>
  <dimension ref="A1:AC56"/>
  <sheetViews>
    <sheetView view="pageBreakPreview" zoomScaleSheetLayoutView="100" zoomScalePageLayoutView="0" workbookViewId="0" topLeftCell="A1">
      <selection activeCell="C11" sqref="C11:U28"/>
    </sheetView>
  </sheetViews>
  <sheetFormatPr defaultColWidth="9.00390625" defaultRowHeight="15.75"/>
  <cols>
    <col min="1" max="1" width="3.50390625" style="554" customWidth="1"/>
    <col min="2" max="2" width="23.25390625" style="554" customWidth="1"/>
    <col min="3" max="8" width="5.75390625" style="554" customWidth="1"/>
    <col min="9" max="9" width="6.625" style="554" customWidth="1"/>
    <col min="10" max="10" width="7.00390625" style="554" customWidth="1"/>
    <col min="11" max="15" width="6.625" style="554" customWidth="1"/>
    <col min="16" max="21" width="5.75390625" style="554" customWidth="1"/>
    <col min="22" max="16384" width="9.00390625" style="554" customWidth="1"/>
  </cols>
  <sheetData>
    <row r="1" spans="1:22" ht="21" customHeight="1">
      <c r="A1" s="629" t="s">
        <v>655</v>
      </c>
      <c r="B1" s="496"/>
      <c r="C1" s="496"/>
      <c r="D1" s="494"/>
      <c r="E1" s="550"/>
      <c r="F1" s="1410" t="s">
        <v>583</v>
      </c>
      <c r="G1" s="1410"/>
      <c r="H1" s="1410"/>
      <c r="I1" s="1410"/>
      <c r="J1" s="1410"/>
      <c r="K1" s="1410"/>
      <c r="L1" s="1410"/>
      <c r="M1" s="1410"/>
      <c r="N1" s="1410"/>
      <c r="O1" s="551"/>
      <c r="P1" s="552" t="s">
        <v>400</v>
      </c>
      <c r="Q1" s="553"/>
      <c r="R1" s="553"/>
      <c r="S1" s="553"/>
      <c r="T1" s="553"/>
      <c r="V1" s="555"/>
    </row>
    <row r="2" spans="1:22" ht="15.75" customHeight="1">
      <c r="A2" s="1408" t="s">
        <v>344</v>
      </c>
      <c r="B2" s="1408"/>
      <c r="C2" s="1408"/>
      <c r="D2" s="1408"/>
      <c r="E2" s="630"/>
      <c r="F2" s="1410"/>
      <c r="G2" s="1410"/>
      <c r="H2" s="1410"/>
      <c r="I2" s="1410"/>
      <c r="J2" s="1410"/>
      <c r="K2" s="1410"/>
      <c r="L2" s="1410"/>
      <c r="M2" s="1410"/>
      <c r="N2" s="1410"/>
      <c r="O2" s="551"/>
      <c r="P2" s="614" t="str">
        <f>'Thong tin'!B4</f>
        <v>CTHADS Hải Phòng</v>
      </c>
      <c r="Q2" s="613"/>
      <c r="R2" s="553"/>
      <c r="S2" s="553"/>
      <c r="T2" s="553"/>
      <c r="V2" s="555"/>
    </row>
    <row r="3" spans="1:20" ht="16.5" customHeight="1">
      <c r="A3" s="1409" t="s">
        <v>345</v>
      </c>
      <c r="B3" s="1409"/>
      <c r="C3" s="1409"/>
      <c r="D3" s="1409"/>
      <c r="E3" s="630"/>
      <c r="F3" s="1411" t="str">
        <f>'Thong tin'!B3</f>
        <v>03 tháng / năm 2018</v>
      </c>
      <c r="G3" s="1412"/>
      <c r="H3" s="1412"/>
      <c r="I3" s="1412"/>
      <c r="J3" s="1412"/>
      <c r="K3" s="1412"/>
      <c r="L3" s="1412"/>
      <c r="M3" s="1412"/>
      <c r="N3" s="1412"/>
      <c r="O3" s="556"/>
      <c r="P3" s="615" t="s">
        <v>652</v>
      </c>
      <c r="Q3" s="553"/>
      <c r="R3" s="553"/>
      <c r="S3" s="553"/>
      <c r="T3" s="553"/>
    </row>
    <row r="4" spans="1:20" ht="15" customHeight="1">
      <c r="A4" s="495" t="s">
        <v>217</v>
      </c>
      <c r="B4" s="465"/>
      <c r="C4" s="465"/>
      <c r="D4" s="465"/>
      <c r="E4" s="557"/>
      <c r="F4" s="557"/>
      <c r="G4" s="557"/>
      <c r="H4" s="557"/>
      <c r="I4" s="557"/>
      <c r="J4" s="557"/>
      <c r="K4" s="557"/>
      <c r="L4" s="557"/>
      <c r="M4" s="557"/>
      <c r="N4" s="557"/>
      <c r="O4" s="557"/>
      <c r="P4" s="558" t="s">
        <v>584</v>
      </c>
      <c r="Q4" s="550"/>
      <c r="R4" s="550"/>
      <c r="S4" s="550"/>
      <c r="T4" s="550"/>
    </row>
    <row r="5" spans="1:21" ht="20.25" customHeight="1">
      <c r="A5" s="1413" t="s">
        <v>72</v>
      </c>
      <c r="B5" s="1414"/>
      <c r="C5" s="1404" t="s">
        <v>585</v>
      </c>
      <c r="D5" s="1404"/>
      <c r="E5" s="1404"/>
      <c r="F5" s="1404" t="s">
        <v>586</v>
      </c>
      <c r="G5" s="1404"/>
      <c r="H5" s="1404"/>
      <c r="I5" s="1404"/>
      <c r="J5" s="1404"/>
      <c r="K5" s="1404"/>
      <c r="L5" s="1404"/>
      <c r="M5" s="1404"/>
      <c r="N5" s="1404"/>
      <c r="O5" s="1404"/>
      <c r="P5" s="1404" t="s">
        <v>587</v>
      </c>
      <c r="Q5" s="1404"/>
      <c r="R5" s="1404"/>
      <c r="S5" s="1404"/>
      <c r="T5" s="1404"/>
      <c r="U5" s="1404"/>
    </row>
    <row r="6" spans="1:21" ht="15" customHeight="1">
      <c r="A6" s="1415"/>
      <c r="B6" s="1416"/>
      <c r="C6" s="1404"/>
      <c r="D6" s="1404"/>
      <c r="E6" s="1404"/>
      <c r="F6" s="1404" t="s">
        <v>588</v>
      </c>
      <c r="G6" s="1404"/>
      <c r="H6" s="1404"/>
      <c r="I6" s="1404" t="s">
        <v>589</v>
      </c>
      <c r="J6" s="1404"/>
      <c r="K6" s="1404"/>
      <c r="L6" s="1404"/>
      <c r="M6" s="1404"/>
      <c r="N6" s="1404"/>
      <c r="O6" s="1404"/>
      <c r="P6" s="1404" t="s">
        <v>37</v>
      </c>
      <c r="Q6" s="1404" t="s">
        <v>7</v>
      </c>
      <c r="R6" s="1404"/>
      <c r="S6" s="1404"/>
      <c r="T6" s="1404"/>
      <c r="U6" s="1404"/>
    </row>
    <row r="7" spans="1:22" ht="29.25" customHeight="1">
      <c r="A7" s="1415"/>
      <c r="B7" s="1416"/>
      <c r="C7" s="1404"/>
      <c r="D7" s="1404"/>
      <c r="E7" s="1404"/>
      <c r="F7" s="1404"/>
      <c r="G7" s="1404"/>
      <c r="H7" s="1404"/>
      <c r="I7" s="1404" t="s">
        <v>590</v>
      </c>
      <c r="J7" s="1404"/>
      <c r="K7" s="1404"/>
      <c r="L7" s="1404" t="s">
        <v>591</v>
      </c>
      <c r="M7" s="1404"/>
      <c r="N7" s="1404"/>
      <c r="O7" s="1404"/>
      <c r="P7" s="1404"/>
      <c r="Q7" s="1404" t="s">
        <v>651</v>
      </c>
      <c r="R7" s="1404" t="s">
        <v>593</v>
      </c>
      <c r="S7" s="1404" t="s">
        <v>594</v>
      </c>
      <c r="T7" s="1404" t="s">
        <v>595</v>
      </c>
      <c r="U7" s="1404" t="s">
        <v>596</v>
      </c>
      <c r="V7" s="554" t="s">
        <v>597</v>
      </c>
    </row>
    <row r="8" spans="1:21" ht="15.75" customHeight="1">
      <c r="A8" s="1415"/>
      <c r="B8" s="1416"/>
      <c r="C8" s="1404" t="s">
        <v>37</v>
      </c>
      <c r="D8" s="1404" t="s">
        <v>7</v>
      </c>
      <c r="E8" s="1404"/>
      <c r="F8" s="1404" t="s">
        <v>37</v>
      </c>
      <c r="G8" s="1404" t="s">
        <v>7</v>
      </c>
      <c r="H8" s="1404"/>
      <c r="I8" s="1404" t="s">
        <v>37</v>
      </c>
      <c r="J8" s="1404" t="s">
        <v>7</v>
      </c>
      <c r="K8" s="1404"/>
      <c r="L8" s="1404" t="s">
        <v>37</v>
      </c>
      <c r="M8" s="1404" t="s">
        <v>7</v>
      </c>
      <c r="N8" s="1404"/>
      <c r="O8" s="1404"/>
      <c r="P8" s="1404"/>
      <c r="Q8" s="1405"/>
      <c r="R8" s="1404"/>
      <c r="S8" s="1404"/>
      <c r="T8" s="1404"/>
      <c r="U8" s="1404"/>
    </row>
    <row r="9" spans="1:23" ht="100.5" customHeight="1">
      <c r="A9" s="1415"/>
      <c r="B9" s="1416"/>
      <c r="C9" s="1404"/>
      <c r="D9" s="649" t="s">
        <v>598</v>
      </c>
      <c r="E9" s="649" t="s">
        <v>605</v>
      </c>
      <c r="F9" s="1404"/>
      <c r="G9" s="649" t="s">
        <v>598</v>
      </c>
      <c r="H9" s="649" t="s">
        <v>599</v>
      </c>
      <c r="I9" s="1404"/>
      <c r="J9" s="649" t="s">
        <v>600</v>
      </c>
      <c r="K9" s="649" t="s">
        <v>601</v>
      </c>
      <c r="L9" s="1404"/>
      <c r="M9" s="649" t="s">
        <v>602</v>
      </c>
      <c r="N9" s="649" t="s">
        <v>603</v>
      </c>
      <c r="O9" s="649" t="s">
        <v>604</v>
      </c>
      <c r="P9" s="1404"/>
      <c r="Q9" s="1405"/>
      <c r="R9" s="1404"/>
      <c r="S9" s="1404"/>
      <c r="T9" s="1404"/>
      <c r="U9" s="1404"/>
      <c r="V9" s="559"/>
      <c r="W9" s="559"/>
    </row>
    <row r="10" spans="1:29" ht="12.75">
      <c r="A10" s="561"/>
      <c r="B10" s="562" t="s">
        <v>606</v>
      </c>
      <c r="C10" s="563">
        <v>1</v>
      </c>
      <c r="D10" s="564">
        <v>2</v>
      </c>
      <c r="E10" s="563">
        <v>3</v>
      </c>
      <c r="F10" s="564">
        <v>4</v>
      </c>
      <c r="G10" s="563">
        <v>5</v>
      </c>
      <c r="H10" s="564">
        <v>6</v>
      </c>
      <c r="I10" s="563">
        <v>7</v>
      </c>
      <c r="J10" s="564">
        <v>8</v>
      </c>
      <c r="K10" s="563">
        <v>9</v>
      </c>
      <c r="L10" s="564">
        <v>10</v>
      </c>
      <c r="M10" s="563">
        <v>11</v>
      </c>
      <c r="N10" s="564">
        <v>12</v>
      </c>
      <c r="O10" s="563">
        <v>13</v>
      </c>
      <c r="P10" s="564">
        <v>14</v>
      </c>
      <c r="Q10" s="563">
        <v>15</v>
      </c>
      <c r="R10" s="564">
        <v>16</v>
      </c>
      <c r="S10" s="563">
        <v>17</v>
      </c>
      <c r="T10" s="564">
        <v>18</v>
      </c>
      <c r="U10" s="563">
        <v>19</v>
      </c>
      <c r="V10" s="560"/>
      <c r="W10" s="559"/>
      <c r="X10" s="559"/>
      <c r="Y10" s="559"/>
      <c r="Z10" s="559"/>
      <c r="AA10" s="559"/>
      <c r="AB10" s="559"/>
      <c r="AC10" s="559"/>
    </row>
    <row r="11" spans="1:29" ht="12.75" customHeight="1">
      <c r="A11" s="1402" t="s">
        <v>37</v>
      </c>
      <c r="B11" s="1403"/>
      <c r="C11" s="717">
        <f>C12+C13</f>
        <v>7</v>
      </c>
      <c r="D11" s="717">
        <f aca="true" t="shared" si="0" ref="D11:U11">D12+D13</f>
        <v>0</v>
      </c>
      <c r="E11" s="717">
        <f t="shared" si="0"/>
        <v>7</v>
      </c>
      <c r="F11" s="717">
        <f t="shared" si="0"/>
        <v>7</v>
      </c>
      <c r="G11" s="717">
        <f t="shared" si="0"/>
        <v>0</v>
      </c>
      <c r="H11" s="717">
        <f t="shared" si="0"/>
        <v>7</v>
      </c>
      <c r="I11" s="717">
        <f t="shared" si="0"/>
        <v>7</v>
      </c>
      <c r="J11" s="717">
        <f t="shared" si="0"/>
        <v>7</v>
      </c>
      <c r="K11" s="717">
        <f t="shared" si="0"/>
        <v>0</v>
      </c>
      <c r="L11" s="717">
        <f t="shared" si="0"/>
        <v>0</v>
      </c>
      <c r="M11" s="717">
        <f t="shared" si="0"/>
        <v>0</v>
      </c>
      <c r="N11" s="717">
        <f t="shared" si="0"/>
        <v>0</v>
      </c>
      <c r="O11" s="717">
        <f t="shared" si="0"/>
        <v>0</v>
      </c>
      <c r="P11" s="717">
        <f t="shared" si="0"/>
        <v>7</v>
      </c>
      <c r="Q11" s="717">
        <f t="shared" si="0"/>
        <v>2</v>
      </c>
      <c r="R11" s="717">
        <f t="shared" si="0"/>
        <v>0</v>
      </c>
      <c r="S11" s="717">
        <f t="shared" si="0"/>
        <v>0</v>
      </c>
      <c r="T11" s="717">
        <f t="shared" si="0"/>
        <v>5</v>
      </c>
      <c r="U11" s="717">
        <f t="shared" si="0"/>
        <v>0</v>
      </c>
      <c r="V11" s="560"/>
      <c r="W11" s="559"/>
      <c r="X11" s="559"/>
      <c r="Y11" s="559"/>
      <c r="Z11" s="559"/>
      <c r="AA11" s="559"/>
      <c r="AB11" s="559"/>
      <c r="AC11" s="559"/>
    </row>
    <row r="12" spans="1:29" ht="12.75">
      <c r="A12" s="640" t="s">
        <v>0</v>
      </c>
      <c r="B12" s="636" t="s">
        <v>758</v>
      </c>
      <c r="C12" s="718">
        <f>D12+E12</f>
        <v>0</v>
      </c>
      <c r="D12" s="635"/>
      <c r="E12" s="635">
        <v>0</v>
      </c>
      <c r="F12" s="635">
        <f>G12+H12</f>
        <v>0</v>
      </c>
      <c r="G12" s="643"/>
      <c r="H12" s="643">
        <v>0</v>
      </c>
      <c r="I12" s="643">
        <f>J12+K12</f>
        <v>0</v>
      </c>
      <c r="J12" s="644"/>
      <c r="K12" s="644">
        <v>0</v>
      </c>
      <c r="L12" s="644">
        <f>M12+N12+O12</f>
        <v>0</v>
      </c>
      <c r="M12" s="644"/>
      <c r="N12" s="644"/>
      <c r="O12" s="644"/>
      <c r="P12" s="644">
        <f>SUM(Q12:U12)</f>
        <v>0</v>
      </c>
      <c r="Q12" s="644"/>
      <c r="R12" s="644"/>
      <c r="S12" s="644"/>
      <c r="T12" s="644">
        <v>0</v>
      </c>
      <c r="U12" s="644"/>
      <c r="V12" s="560"/>
      <c r="W12" s="559"/>
      <c r="X12" s="559"/>
      <c r="Y12" s="559"/>
      <c r="Z12" s="559"/>
      <c r="AA12" s="559"/>
      <c r="AB12" s="559"/>
      <c r="AC12" s="559"/>
    </row>
    <row r="13" spans="1:29" ht="12.75">
      <c r="A13" s="641" t="s">
        <v>1</v>
      </c>
      <c r="B13" s="636" t="s">
        <v>19</v>
      </c>
      <c r="C13" s="718">
        <f>SUM(C14:C28)</f>
        <v>7</v>
      </c>
      <c r="D13" s="718">
        <f aca="true" t="shared" si="1" ref="D13:U13">SUM(D14:D28)</f>
        <v>0</v>
      </c>
      <c r="E13" s="718">
        <f t="shared" si="1"/>
        <v>7</v>
      </c>
      <c r="F13" s="718">
        <f t="shared" si="1"/>
        <v>7</v>
      </c>
      <c r="G13" s="718">
        <f t="shared" si="1"/>
        <v>0</v>
      </c>
      <c r="H13" s="718">
        <f t="shared" si="1"/>
        <v>7</v>
      </c>
      <c r="I13" s="718">
        <f t="shared" si="1"/>
        <v>7</v>
      </c>
      <c r="J13" s="718">
        <f t="shared" si="1"/>
        <v>7</v>
      </c>
      <c r="K13" s="718">
        <f t="shared" si="1"/>
        <v>0</v>
      </c>
      <c r="L13" s="718">
        <f t="shared" si="1"/>
        <v>0</v>
      </c>
      <c r="M13" s="718">
        <f t="shared" si="1"/>
        <v>0</v>
      </c>
      <c r="N13" s="718">
        <f t="shared" si="1"/>
        <v>0</v>
      </c>
      <c r="O13" s="718">
        <f t="shared" si="1"/>
        <v>0</v>
      </c>
      <c r="P13" s="718">
        <f t="shared" si="1"/>
        <v>7</v>
      </c>
      <c r="Q13" s="718">
        <f t="shared" si="1"/>
        <v>2</v>
      </c>
      <c r="R13" s="718">
        <f t="shared" si="1"/>
        <v>0</v>
      </c>
      <c r="S13" s="718">
        <f t="shared" si="1"/>
        <v>0</v>
      </c>
      <c r="T13" s="718">
        <f t="shared" si="1"/>
        <v>5</v>
      </c>
      <c r="U13" s="718">
        <f t="shared" si="1"/>
        <v>0</v>
      </c>
      <c r="V13" s="560"/>
      <c r="W13" s="559"/>
      <c r="X13" s="559"/>
      <c r="Y13" s="559"/>
      <c r="Z13" s="559"/>
      <c r="AA13" s="559"/>
      <c r="AB13" s="559"/>
      <c r="AC13" s="559"/>
    </row>
    <row r="14" spans="1:29" s="676" customFormat="1" ht="12.75">
      <c r="A14" s="716">
        <v>1</v>
      </c>
      <c r="B14" s="703" t="s">
        <v>759</v>
      </c>
      <c r="C14" s="719">
        <f aca="true" t="shared" si="2" ref="C14:C28">D14+E14</f>
        <v>0</v>
      </c>
      <c r="D14" s="702"/>
      <c r="E14" s="702">
        <v>0</v>
      </c>
      <c r="F14" s="702">
        <f aca="true" t="shared" si="3" ref="F14:F28">G14+H14</f>
        <v>0</v>
      </c>
      <c r="G14" s="701"/>
      <c r="H14" s="701">
        <v>0</v>
      </c>
      <c r="I14" s="701">
        <f aca="true" t="shared" si="4" ref="I14:I28">J14+K14</f>
        <v>0</v>
      </c>
      <c r="J14" s="702">
        <v>0</v>
      </c>
      <c r="K14" s="702"/>
      <c r="L14" s="702">
        <f aca="true" t="shared" si="5" ref="L14:L28">M14+N14+O14</f>
        <v>0</v>
      </c>
      <c r="M14" s="702"/>
      <c r="N14" s="702"/>
      <c r="O14" s="702"/>
      <c r="P14" s="702">
        <f aca="true" t="shared" si="6" ref="P14:P28">SUM(Q14:U14)</f>
        <v>0</v>
      </c>
      <c r="Q14" s="702"/>
      <c r="R14" s="702"/>
      <c r="S14" s="702"/>
      <c r="T14" s="702">
        <v>0</v>
      </c>
      <c r="U14" s="702"/>
      <c r="V14" s="674"/>
      <c r="W14" s="675"/>
      <c r="X14" s="675"/>
      <c r="Y14" s="675"/>
      <c r="Z14" s="675"/>
      <c r="AA14" s="675"/>
      <c r="AB14" s="675"/>
      <c r="AC14" s="675"/>
    </row>
    <row r="15" spans="1:29" s="676" customFormat="1" ht="12.75">
      <c r="A15" s="716">
        <v>2</v>
      </c>
      <c r="B15" s="703" t="s">
        <v>760</v>
      </c>
      <c r="C15" s="719">
        <f t="shared" si="2"/>
        <v>0</v>
      </c>
      <c r="D15" s="702"/>
      <c r="E15" s="702"/>
      <c r="F15" s="702">
        <f t="shared" si="3"/>
        <v>0</v>
      </c>
      <c r="G15" s="701"/>
      <c r="H15" s="701"/>
      <c r="I15" s="701">
        <f t="shared" si="4"/>
        <v>0</v>
      </c>
      <c r="J15" s="702"/>
      <c r="K15" s="702"/>
      <c r="L15" s="702">
        <f t="shared" si="5"/>
        <v>0</v>
      </c>
      <c r="M15" s="702"/>
      <c r="N15" s="702"/>
      <c r="O15" s="702"/>
      <c r="P15" s="702">
        <f t="shared" si="6"/>
        <v>0</v>
      </c>
      <c r="Q15" s="702"/>
      <c r="R15" s="702"/>
      <c r="S15" s="702"/>
      <c r="T15" s="702"/>
      <c r="U15" s="702"/>
      <c r="V15" s="674"/>
      <c r="W15" s="675"/>
      <c r="X15" s="675"/>
      <c r="Y15" s="675"/>
      <c r="Z15" s="675"/>
      <c r="AA15" s="675"/>
      <c r="AB15" s="675"/>
      <c r="AC15" s="675"/>
    </row>
    <row r="16" spans="1:29" s="676" customFormat="1" ht="12.75">
      <c r="A16" s="716">
        <v>3</v>
      </c>
      <c r="B16" s="703" t="s">
        <v>761</v>
      </c>
      <c r="C16" s="719">
        <f t="shared" si="2"/>
        <v>0</v>
      </c>
      <c r="D16" s="702"/>
      <c r="E16" s="702"/>
      <c r="F16" s="702">
        <f t="shared" si="3"/>
        <v>0</v>
      </c>
      <c r="G16" s="701"/>
      <c r="H16" s="701"/>
      <c r="I16" s="701">
        <f t="shared" si="4"/>
        <v>0</v>
      </c>
      <c r="J16" s="702"/>
      <c r="K16" s="702"/>
      <c r="L16" s="702">
        <f t="shared" si="5"/>
        <v>0</v>
      </c>
      <c r="M16" s="702"/>
      <c r="N16" s="702"/>
      <c r="O16" s="702"/>
      <c r="P16" s="702">
        <f t="shared" si="6"/>
        <v>0</v>
      </c>
      <c r="Q16" s="702"/>
      <c r="R16" s="702"/>
      <c r="S16" s="702"/>
      <c r="T16" s="702"/>
      <c r="U16" s="702"/>
      <c r="V16" s="674"/>
      <c r="W16" s="675"/>
      <c r="X16" s="675"/>
      <c r="Y16" s="675"/>
      <c r="Z16" s="675"/>
      <c r="AA16" s="675"/>
      <c r="AB16" s="675"/>
      <c r="AC16" s="675"/>
    </row>
    <row r="17" spans="1:29" s="676" customFormat="1" ht="12.75">
      <c r="A17" s="716">
        <v>4</v>
      </c>
      <c r="B17" s="703" t="s">
        <v>762</v>
      </c>
      <c r="C17" s="719">
        <f t="shared" si="2"/>
        <v>0</v>
      </c>
      <c r="D17" s="702"/>
      <c r="E17" s="702"/>
      <c r="F17" s="702">
        <f t="shared" si="3"/>
        <v>0</v>
      </c>
      <c r="G17" s="701"/>
      <c r="H17" s="701"/>
      <c r="I17" s="701">
        <f t="shared" si="4"/>
        <v>0</v>
      </c>
      <c r="J17" s="702"/>
      <c r="K17" s="702"/>
      <c r="L17" s="702">
        <f t="shared" si="5"/>
        <v>0</v>
      </c>
      <c r="M17" s="702"/>
      <c r="N17" s="702"/>
      <c r="O17" s="702"/>
      <c r="P17" s="702">
        <f t="shared" si="6"/>
        <v>0</v>
      </c>
      <c r="Q17" s="702"/>
      <c r="R17" s="702"/>
      <c r="S17" s="702"/>
      <c r="T17" s="702"/>
      <c r="U17" s="702"/>
      <c r="V17" s="674"/>
      <c r="W17" s="675"/>
      <c r="X17" s="675"/>
      <c r="Y17" s="675"/>
      <c r="Z17" s="675"/>
      <c r="AA17" s="675"/>
      <c r="AB17" s="675"/>
      <c r="AC17" s="675"/>
    </row>
    <row r="18" spans="1:29" s="662" customFormat="1" ht="16.5" customHeight="1">
      <c r="A18" s="716">
        <v>5</v>
      </c>
      <c r="B18" s="703" t="s">
        <v>763</v>
      </c>
      <c r="C18" s="719">
        <f t="shared" si="2"/>
        <v>1</v>
      </c>
      <c r="D18" s="702"/>
      <c r="E18" s="702">
        <v>1</v>
      </c>
      <c r="F18" s="702">
        <f t="shared" si="3"/>
        <v>1</v>
      </c>
      <c r="G18" s="701"/>
      <c r="H18" s="701">
        <v>1</v>
      </c>
      <c r="I18" s="701">
        <f t="shared" si="4"/>
        <v>1</v>
      </c>
      <c r="J18" s="702">
        <v>1</v>
      </c>
      <c r="K18" s="702"/>
      <c r="L18" s="702">
        <f t="shared" si="5"/>
        <v>0</v>
      </c>
      <c r="M18" s="702"/>
      <c r="N18" s="702"/>
      <c r="O18" s="702"/>
      <c r="P18" s="702">
        <f t="shared" si="6"/>
        <v>1</v>
      </c>
      <c r="Q18" s="702"/>
      <c r="R18" s="702"/>
      <c r="S18" s="702"/>
      <c r="T18" s="702">
        <v>1</v>
      </c>
      <c r="U18" s="702"/>
      <c r="V18" s="677"/>
      <c r="W18" s="678"/>
      <c r="X18" s="678"/>
      <c r="Y18" s="678"/>
      <c r="Z18" s="678"/>
      <c r="AA18" s="678"/>
      <c r="AB18" s="678"/>
      <c r="AC18" s="678"/>
    </row>
    <row r="19" spans="1:29" s="662" customFormat="1" ht="16.5" customHeight="1">
      <c r="A19" s="716">
        <v>6</v>
      </c>
      <c r="B19" s="703" t="s">
        <v>764</v>
      </c>
      <c r="C19" s="719">
        <f t="shared" si="2"/>
        <v>0</v>
      </c>
      <c r="D19" s="702"/>
      <c r="E19" s="702"/>
      <c r="F19" s="702">
        <f t="shared" si="3"/>
        <v>0</v>
      </c>
      <c r="G19" s="701"/>
      <c r="H19" s="701"/>
      <c r="I19" s="701">
        <f t="shared" si="4"/>
        <v>0</v>
      </c>
      <c r="J19" s="702"/>
      <c r="K19" s="702"/>
      <c r="L19" s="702">
        <f t="shared" si="5"/>
        <v>0</v>
      </c>
      <c r="M19" s="702"/>
      <c r="N19" s="702"/>
      <c r="O19" s="702"/>
      <c r="P19" s="702">
        <f t="shared" si="6"/>
        <v>0</v>
      </c>
      <c r="Q19" s="702"/>
      <c r="R19" s="702"/>
      <c r="S19" s="702"/>
      <c r="T19" s="702"/>
      <c r="U19" s="702"/>
      <c r="V19" s="679"/>
      <c r="W19" s="678"/>
      <c r="X19" s="678"/>
      <c r="Y19" s="678"/>
      <c r="Z19" s="678"/>
      <c r="AA19" s="678"/>
      <c r="AB19" s="678"/>
      <c r="AC19" s="678"/>
    </row>
    <row r="20" spans="1:29" s="662" customFormat="1" ht="16.5" customHeight="1">
      <c r="A20" s="716">
        <v>7</v>
      </c>
      <c r="B20" s="703" t="s">
        <v>765</v>
      </c>
      <c r="C20" s="719">
        <f t="shared" si="2"/>
        <v>0</v>
      </c>
      <c r="D20" s="702"/>
      <c r="E20" s="702"/>
      <c r="F20" s="702">
        <f t="shared" si="3"/>
        <v>0</v>
      </c>
      <c r="G20" s="701"/>
      <c r="H20" s="701"/>
      <c r="I20" s="701">
        <f t="shared" si="4"/>
        <v>0</v>
      </c>
      <c r="J20" s="702"/>
      <c r="K20" s="702"/>
      <c r="L20" s="702">
        <f t="shared" si="5"/>
        <v>0</v>
      </c>
      <c r="M20" s="702"/>
      <c r="N20" s="702"/>
      <c r="O20" s="702"/>
      <c r="P20" s="702">
        <f t="shared" si="6"/>
        <v>0</v>
      </c>
      <c r="Q20" s="702"/>
      <c r="R20" s="702"/>
      <c r="S20" s="702"/>
      <c r="T20" s="702"/>
      <c r="U20" s="702"/>
      <c r="V20" s="678"/>
      <c r="W20" s="678"/>
      <c r="X20" s="678"/>
      <c r="Y20" s="678"/>
      <c r="Z20" s="678"/>
      <c r="AA20" s="678"/>
      <c r="AB20" s="678"/>
      <c r="AC20" s="678"/>
    </row>
    <row r="21" spans="1:29" s="662" customFormat="1" ht="15.75" customHeight="1">
      <c r="A21" s="716">
        <v>8</v>
      </c>
      <c r="B21" s="703" t="s">
        <v>766</v>
      </c>
      <c r="C21" s="719">
        <f t="shared" si="2"/>
        <v>0</v>
      </c>
      <c r="D21" s="702"/>
      <c r="E21" s="702"/>
      <c r="F21" s="702">
        <f t="shared" si="3"/>
        <v>0</v>
      </c>
      <c r="G21" s="701"/>
      <c r="H21" s="701"/>
      <c r="I21" s="701">
        <f t="shared" si="4"/>
        <v>0</v>
      </c>
      <c r="J21" s="702"/>
      <c r="K21" s="702"/>
      <c r="L21" s="702">
        <f t="shared" si="5"/>
        <v>0</v>
      </c>
      <c r="M21" s="702"/>
      <c r="N21" s="702"/>
      <c r="O21" s="702"/>
      <c r="P21" s="702">
        <f t="shared" si="6"/>
        <v>0</v>
      </c>
      <c r="Q21" s="702"/>
      <c r="R21" s="702"/>
      <c r="S21" s="702"/>
      <c r="T21" s="702"/>
      <c r="U21" s="702"/>
      <c r="V21" s="678"/>
      <c r="W21" s="678"/>
      <c r="X21" s="678"/>
      <c r="Y21" s="678"/>
      <c r="Z21" s="678"/>
      <c r="AA21" s="678"/>
      <c r="AB21" s="678"/>
      <c r="AC21" s="678"/>
    </row>
    <row r="22" spans="1:29" s="662" customFormat="1" ht="15.75" customHeight="1">
      <c r="A22" s="716">
        <v>9</v>
      </c>
      <c r="B22" s="703" t="s">
        <v>767</v>
      </c>
      <c r="C22" s="719">
        <f t="shared" si="2"/>
        <v>4</v>
      </c>
      <c r="D22" s="702"/>
      <c r="E22" s="702">
        <v>4</v>
      </c>
      <c r="F22" s="702">
        <f t="shared" si="3"/>
        <v>4</v>
      </c>
      <c r="G22" s="701"/>
      <c r="H22" s="701">
        <v>4</v>
      </c>
      <c r="I22" s="701">
        <f t="shared" si="4"/>
        <v>4</v>
      </c>
      <c r="J22" s="702">
        <v>4</v>
      </c>
      <c r="K22" s="702"/>
      <c r="L22" s="702">
        <f t="shared" si="5"/>
        <v>0</v>
      </c>
      <c r="M22" s="702"/>
      <c r="N22" s="702"/>
      <c r="O22" s="702"/>
      <c r="P22" s="702">
        <f t="shared" si="6"/>
        <v>4</v>
      </c>
      <c r="Q22" s="702">
        <v>2</v>
      </c>
      <c r="R22" s="702"/>
      <c r="S22" s="702"/>
      <c r="T22" s="702">
        <v>2</v>
      </c>
      <c r="U22" s="702"/>
      <c r="V22" s="678"/>
      <c r="W22" s="678"/>
      <c r="X22" s="678"/>
      <c r="Y22" s="678"/>
      <c r="Z22" s="678"/>
      <c r="AA22" s="678"/>
      <c r="AB22" s="678"/>
      <c r="AC22" s="678"/>
    </row>
    <row r="23" spans="1:29" s="662" customFormat="1" ht="15.75" customHeight="1">
      <c r="A23" s="716">
        <v>10</v>
      </c>
      <c r="B23" s="703" t="s">
        <v>768</v>
      </c>
      <c r="C23" s="719">
        <f t="shared" si="2"/>
        <v>2</v>
      </c>
      <c r="D23" s="702"/>
      <c r="E23" s="702">
        <v>2</v>
      </c>
      <c r="F23" s="702">
        <f t="shared" si="3"/>
        <v>2</v>
      </c>
      <c r="G23" s="701"/>
      <c r="H23" s="701">
        <v>2</v>
      </c>
      <c r="I23" s="701">
        <f t="shared" si="4"/>
        <v>2</v>
      </c>
      <c r="J23" s="702">
        <v>2</v>
      </c>
      <c r="K23" s="702"/>
      <c r="L23" s="702">
        <f t="shared" si="5"/>
        <v>0</v>
      </c>
      <c r="M23" s="702"/>
      <c r="N23" s="702"/>
      <c r="O23" s="702"/>
      <c r="P23" s="702">
        <f t="shared" si="6"/>
        <v>2</v>
      </c>
      <c r="Q23" s="702"/>
      <c r="R23" s="702"/>
      <c r="S23" s="702"/>
      <c r="T23" s="702">
        <v>2</v>
      </c>
      <c r="U23" s="702"/>
      <c r="V23" s="678"/>
      <c r="W23" s="678"/>
      <c r="X23" s="678"/>
      <c r="Y23" s="678"/>
      <c r="Z23" s="678"/>
      <c r="AA23" s="678"/>
      <c r="AB23" s="678"/>
      <c r="AC23" s="678"/>
    </row>
    <row r="24" spans="1:29" s="662" customFormat="1" ht="15.75" customHeight="1">
      <c r="A24" s="716">
        <v>11</v>
      </c>
      <c r="B24" s="703" t="s">
        <v>769</v>
      </c>
      <c r="C24" s="719">
        <f t="shared" si="2"/>
        <v>0</v>
      </c>
      <c r="D24" s="702"/>
      <c r="E24" s="702"/>
      <c r="F24" s="702">
        <f t="shared" si="3"/>
        <v>0</v>
      </c>
      <c r="G24" s="701"/>
      <c r="H24" s="701"/>
      <c r="I24" s="701">
        <f t="shared" si="4"/>
        <v>0</v>
      </c>
      <c r="J24" s="702"/>
      <c r="K24" s="702"/>
      <c r="L24" s="702">
        <f t="shared" si="5"/>
        <v>0</v>
      </c>
      <c r="M24" s="702"/>
      <c r="N24" s="702"/>
      <c r="O24" s="702"/>
      <c r="P24" s="702">
        <f t="shared" si="6"/>
        <v>0</v>
      </c>
      <c r="Q24" s="702"/>
      <c r="R24" s="702"/>
      <c r="S24" s="702"/>
      <c r="T24" s="702"/>
      <c r="U24" s="702"/>
      <c r="V24" s="678"/>
      <c r="W24" s="678"/>
      <c r="X24" s="678"/>
      <c r="Y24" s="678"/>
      <c r="Z24" s="678"/>
      <c r="AA24" s="678"/>
      <c r="AB24" s="678"/>
      <c r="AC24" s="678"/>
    </row>
    <row r="25" spans="1:29" s="662" customFormat="1" ht="15.75" customHeight="1">
      <c r="A25" s="716">
        <v>12</v>
      </c>
      <c r="B25" s="703" t="s">
        <v>770</v>
      </c>
      <c r="C25" s="719">
        <f t="shared" si="2"/>
        <v>0</v>
      </c>
      <c r="D25" s="702"/>
      <c r="E25" s="702"/>
      <c r="F25" s="702">
        <f t="shared" si="3"/>
        <v>0</v>
      </c>
      <c r="G25" s="701"/>
      <c r="H25" s="701"/>
      <c r="I25" s="701">
        <f t="shared" si="4"/>
        <v>0</v>
      </c>
      <c r="J25" s="702"/>
      <c r="K25" s="702"/>
      <c r="L25" s="702">
        <f t="shared" si="5"/>
        <v>0</v>
      </c>
      <c r="M25" s="702"/>
      <c r="N25" s="702"/>
      <c r="O25" s="702"/>
      <c r="P25" s="702">
        <f t="shared" si="6"/>
        <v>0</v>
      </c>
      <c r="Q25" s="702"/>
      <c r="R25" s="702"/>
      <c r="S25" s="702"/>
      <c r="T25" s="702"/>
      <c r="U25" s="702"/>
      <c r="V25" s="678"/>
      <c r="W25" s="678"/>
      <c r="X25" s="678"/>
      <c r="Y25" s="678"/>
      <c r="Z25" s="678"/>
      <c r="AA25" s="678"/>
      <c r="AB25" s="678"/>
      <c r="AC25" s="678"/>
    </row>
    <row r="26" spans="1:29" s="662" customFormat="1" ht="15.75" customHeight="1">
      <c r="A26" s="716">
        <v>13</v>
      </c>
      <c r="B26" s="703" t="s">
        <v>771</v>
      </c>
      <c r="C26" s="719">
        <f t="shared" si="2"/>
        <v>0</v>
      </c>
      <c r="D26" s="702"/>
      <c r="E26" s="702"/>
      <c r="F26" s="702">
        <f t="shared" si="3"/>
        <v>0</v>
      </c>
      <c r="G26" s="701"/>
      <c r="H26" s="701"/>
      <c r="I26" s="701">
        <f t="shared" si="4"/>
        <v>0</v>
      </c>
      <c r="J26" s="702"/>
      <c r="K26" s="702"/>
      <c r="L26" s="702">
        <f t="shared" si="5"/>
        <v>0</v>
      </c>
      <c r="M26" s="702"/>
      <c r="N26" s="702"/>
      <c r="O26" s="702"/>
      <c r="P26" s="702">
        <f t="shared" si="6"/>
        <v>0</v>
      </c>
      <c r="Q26" s="702"/>
      <c r="R26" s="702"/>
      <c r="S26" s="702"/>
      <c r="T26" s="702"/>
      <c r="U26" s="702"/>
      <c r="V26" s="678"/>
      <c r="W26" s="678"/>
      <c r="X26" s="678"/>
      <c r="Y26" s="678"/>
      <c r="Z26" s="678"/>
      <c r="AA26" s="678"/>
      <c r="AB26" s="678"/>
      <c r="AC26" s="678"/>
    </row>
    <row r="27" spans="1:29" s="662" customFormat="1" ht="15.75" customHeight="1">
      <c r="A27" s="716">
        <v>14</v>
      </c>
      <c r="B27" s="703" t="s">
        <v>772</v>
      </c>
      <c r="C27" s="719">
        <f t="shared" si="2"/>
        <v>0</v>
      </c>
      <c r="D27" s="702"/>
      <c r="E27" s="702"/>
      <c r="F27" s="702">
        <f t="shared" si="3"/>
        <v>0</v>
      </c>
      <c r="G27" s="701"/>
      <c r="H27" s="701"/>
      <c r="I27" s="701">
        <f t="shared" si="4"/>
        <v>0</v>
      </c>
      <c r="J27" s="702"/>
      <c r="K27" s="702"/>
      <c r="L27" s="702">
        <f t="shared" si="5"/>
        <v>0</v>
      </c>
      <c r="M27" s="702"/>
      <c r="N27" s="702"/>
      <c r="O27" s="702"/>
      <c r="P27" s="702">
        <f t="shared" si="6"/>
        <v>0</v>
      </c>
      <c r="Q27" s="702"/>
      <c r="R27" s="702"/>
      <c r="S27" s="702"/>
      <c r="T27" s="702"/>
      <c r="U27" s="702"/>
      <c r="V27" s="678"/>
      <c r="W27" s="678"/>
      <c r="X27" s="678"/>
      <c r="Y27" s="678"/>
      <c r="Z27" s="678"/>
      <c r="AA27" s="678"/>
      <c r="AB27" s="678"/>
      <c r="AC27" s="678"/>
    </row>
    <row r="28" spans="1:29" s="662" customFormat="1" ht="15.75" customHeight="1">
      <c r="A28" s="716">
        <v>15</v>
      </c>
      <c r="B28" s="703" t="s">
        <v>773</v>
      </c>
      <c r="C28" s="719">
        <f t="shared" si="2"/>
        <v>0</v>
      </c>
      <c r="D28" s="702"/>
      <c r="E28" s="702"/>
      <c r="F28" s="702">
        <f t="shared" si="3"/>
        <v>0</v>
      </c>
      <c r="G28" s="701"/>
      <c r="H28" s="701"/>
      <c r="I28" s="701">
        <f t="shared" si="4"/>
        <v>0</v>
      </c>
      <c r="J28" s="702"/>
      <c r="K28" s="702"/>
      <c r="L28" s="702">
        <f t="shared" si="5"/>
        <v>0</v>
      </c>
      <c r="M28" s="702"/>
      <c r="N28" s="702"/>
      <c r="O28" s="702"/>
      <c r="P28" s="702">
        <f t="shared" si="6"/>
        <v>0</v>
      </c>
      <c r="Q28" s="702"/>
      <c r="R28" s="702"/>
      <c r="S28" s="702"/>
      <c r="T28" s="702"/>
      <c r="U28" s="702"/>
      <c r="V28" s="678"/>
      <c r="W28" s="678"/>
      <c r="X28" s="678"/>
      <c r="Y28" s="678"/>
      <c r="Z28" s="678"/>
      <c r="AA28" s="678"/>
      <c r="AB28" s="678"/>
      <c r="AC28" s="678"/>
    </row>
    <row r="29" spans="1:21" ht="22.5" customHeight="1">
      <c r="A29" s="565"/>
      <c r="B29" s="1406"/>
      <c r="C29" s="1406"/>
      <c r="D29" s="1406"/>
      <c r="E29" s="1406"/>
      <c r="F29" s="1406"/>
      <c r="G29" s="1406"/>
      <c r="H29" s="605"/>
      <c r="I29" s="605"/>
      <c r="J29" s="605"/>
      <c r="K29" s="605"/>
      <c r="L29" s="605"/>
      <c r="M29" s="616"/>
      <c r="N29" s="1407" t="str">
        <f>'Thong tin'!B8</f>
        <v>Hải Phòng, ngày 04 tháng 01 năm 2018</v>
      </c>
      <c r="O29" s="1407"/>
      <c r="P29" s="1407"/>
      <c r="Q29" s="1407"/>
      <c r="R29" s="1407"/>
      <c r="S29" s="1407"/>
      <c r="T29" s="1407"/>
      <c r="U29" s="1407"/>
    </row>
    <row r="30" spans="1:21" ht="17.25" customHeight="1">
      <c r="A30" s="565"/>
      <c r="B30" s="1401" t="s">
        <v>4</v>
      </c>
      <c r="C30" s="1401"/>
      <c r="D30" s="1401"/>
      <c r="E30" s="1401"/>
      <c r="F30" s="1401"/>
      <c r="G30" s="1401"/>
      <c r="H30" s="594"/>
      <c r="I30" s="594"/>
      <c r="J30" s="594"/>
      <c r="K30" s="594"/>
      <c r="L30" s="594"/>
      <c r="M30" s="616"/>
      <c r="N30" s="1396" t="str">
        <f>'Thong tin'!B7</f>
        <v>
PHÓ CỤC TRƯỞNG</v>
      </c>
      <c r="O30" s="1396"/>
      <c r="P30" s="1396"/>
      <c r="Q30" s="1396"/>
      <c r="R30" s="1396"/>
      <c r="S30" s="1396"/>
      <c r="T30" s="1396"/>
      <c r="U30" s="1396"/>
    </row>
    <row r="31" spans="1:21" ht="18" customHeight="1">
      <c r="A31" s="567"/>
      <c r="B31" s="1395"/>
      <c r="C31" s="1395"/>
      <c r="D31" s="1395"/>
      <c r="E31" s="1395"/>
      <c r="F31" s="1395"/>
      <c r="G31" s="617"/>
      <c r="H31" s="617"/>
      <c r="I31" s="617"/>
      <c r="J31" s="617"/>
      <c r="K31" s="617"/>
      <c r="L31" s="617"/>
      <c r="M31" s="617"/>
      <c r="N31" s="1396"/>
      <c r="O31" s="1396"/>
      <c r="P31" s="1396"/>
      <c r="Q31" s="1396"/>
      <c r="R31" s="1396"/>
      <c r="S31" s="1396"/>
      <c r="T31" s="1396"/>
      <c r="U31" s="1396"/>
    </row>
    <row r="32" spans="2:21" ht="23.25" customHeight="1">
      <c r="B32" s="1397"/>
      <c r="C32" s="1397"/>
      <c r="D32" s="1397"/>
      <c r="E32" s="1397"/>
      <c r="F32" s="1397"/>
      <c r="G32" s="616"/>
      <c r="H32" s="616"/>
      <c r="I32" s="616"/>
      <c r="J32" s="616"/>
      <c r="K32" s="616"/>
      <c r="L32" s="616"/>
      <c r="M32" s="616" t="s">
        <v>808</v>
      </c>
      <c r="N32" s="616"/>
      <c r="O32" s="616"/>
      <c r="P32" s="1397"/>
      <c r="Q32" s="1397"/>
      <c r="R32" s="1397"/>
      <c r="S32" s="1397"/>
      <c r="T32" s="1397"/>
      <c r="U32" s="616"/>
    </row>
    <row r="33" spans="2:21" ht="3" customHeight="1">
      <c r="B33" s="616"/>
      <c r="C33" s="616"/>
      <c r="D33" s="616"/>
      <c r="E33" s="616"/>
      <c r="F33" s="616"/>
      <c r="G33" s="616"/>
      <c r="H33" s="616"/>
      <c r="I33" s="616"/>
      <c r="J33" s="616"/>
      <c r="K33" s="616"/>
      <c r="L33" s="616"/>
      <c r="M33" s="616"/>
      <c r="N33" s="616"/>
      <c r="O33" s="616"/>
      <c r="P33" s="616"/>
      <c r="Q33" s="1398"/>
      <c r="R33" s="1398"/>
      <c r="S33" s="616"/>
      <c r="T33" s="616"/>
      <c r="U33" s="616"/>
    </row>
    <row r="34" spans="2:21" ht="10.5" customHeight="1">
      <c r="B34" s="616"/>
      <c r="C34" s="616"/>
      <c r="D34" s="616"/>
      <c r="E34" s="616"/>
      <c r="F34" s="616"/>
      <c r="G34" s="616"/>
      <c r="H34" s="616"/>
      <c r="I34" s="616"/>
      <c r="J34" s="616"/>
      <c r="K34" s="616"/>
      <c r="L34" s="616"/>
      <c r="M34" s="616"/>
      <c r="N34" s="616"/>
      <c r="O34" s="616"/>
      <c r="P34" s="616"/>
      <c r="Q34" s="616"/>
      <c r="R34" s="616"/>
      <c r="S34" s="616"/>
      <c r="T34" s="616"/>
      <c r="U34" s="616"/>
    </row>
    <row r="35" spans="2:21" ht="18">
      <c r="B35" s="616"/>
      <c r="C35" s="616"/>
      <c r="D35" s="616"/>
      <c r="E35" s="616"/>
      <c r="F35" s="616"/>
      <c r="G35" s="616"/>
      <c r="H35" s="616"/>
      <c r="I35" s="616"/>
      <c r="J35" s="616" t="s">
        <v>597</v>
      </c>
      <c r="K35" s="616"/>
      <c r="L35" s="616"/>
      <c r="M35" s="616"/>
      <c r="N35" s="616"/>
      <c r="O35" s="616"/>
      <c r="P35" s="616"/>
      <c r="Q35" s="616"/>
      <c r="R35" s="616"/>
      <c r="S35" s="616"/>
      <c r="T35" s="616"/>
      <c r="U35" s="616"/>
    </row>
    <row r="36" spans="2:21" ht="16.5">
      <c r="B36" s="1399" t="str">
        <f>'Thong tin'!B5</f>
        <v>Trần Thị Minh</v>
      </c>
      <c r="C36" s="1399"/>
      <c r="D36" s="1399"/>
      <c r="E36" s="1399"/>
      <c r="F36" s="1399"/>
      <c r="G36" s="1399"/>
      <c r="H36" s="618"/>
      <c r="I36" s="619"/>
      <c r="J36" s="619"/>
      <c r="K36" s="619"/>
      <c r="L36" s="619"/>
      <c r="M36" s="619"/>
      <c r="N36" s="1399" t="str">
        <f>'Thong tin'!B6</f>
        <v>Nguyễn Thị Mai Hoa</v>
      </c>
      <c r="O36" s="1399"/>
      <c r="P36" s="1399"/>
      <c r="Q36" s="1399"/>
      <c r="R36" s="1399"/>
      <c r="S36" s="1399"/>
      <c r="T36" s="1399"/>
      <c r="U36" s="1399"/>
    </row>
    <row r="38" spans="15:20" ht="12.75">
      <c r="O38" s="1400"/>
      <c r="P38" s="1400"/>
      <c r="Q38" s="1400"/>
      <c r="R38" s="1400"/>
      <c r="S38" s="1400"/>
      <c r="T38" s="1400"/>
    </row>
    <row r="40" ht="12.75" hidden="1"/>
    <row r="41" spans="1:14" ht="12.75" customHeight="1" hidden="1">
      <c r="A41" s="568" t="s">
        <v>226</v>
      </c>
      <c r="B41" s="569"/>
      <c r="C41" s="569"/>
      <c r="D41" s="569"/>
      <c r="E41" s="569"/>
      <c r="F41" s="569"/>
      <c r="G41" s="569"/>
      <c r="H41" s="569"/>
      <c r="I41" s="569"/>
      <c r="J41" s="569"/>
      <c r="K41" s="569"/>
      <c r="L41" s="569"/>
      <c r="M41" s="569"/>
      <c r="N41" s="569"/>
    </row>
    <row r="42" spans="1:14" s="570" customFormat="1" ht="15.75" customHeight="1" hidden="1">
      <c r="A42" s="1394" t="s">
        <v>607</v>
      </c>
      <c r="B42" s="1394"/>
      <c r="C42" s="1394"/>
      <c r="D42" s="1394"/>
      <c r="E42" s="1394"/>
      <c r="F42" s="1394"/>
      <c r="G42" s="1394"/>
      <c r="H42" s="1394"/>
      <c r="I42" s="1394"/>
      <c r="J42" s="1394"/>
      <c r="K42" s="1394"/>
      <c r="L42" s="569"/>
      <c r="M42" s="569"/>
      <c r="N42" s="569"/>
    </row>
    <row r="43" spans="1:14" s="573" customFormat="1" ht="15" hidden="1">
      <c r="A43" s="571" t="s">
        <v>608</v>
      </c>
      <c r="B43" s="572"/>
      <c r="C43" s="572"/>
      <c r="D43" s="572"/>
      <c r="E43" s="572"/>
      <c r="F43" s="572"/>
      <c r="G43" s="572"/>
      <c r="H43" s="572"/>
      <c r="I43" s="572"/>
      <c r="J43" s="572"/>
      <c r="K43" s="572"/>
      <c r="L43" s="572"/>
      <c r="M43" s="572"/>
      <c r="N43" s="572"/>
    </row>
    <row r="44" spans="1:14" s="570" customFormat="1" ht="15" hidden="1">
      <c r="A44" s="571" t="s">
        <v>609</v>
      </c>
      <c r="B44" s="572"/>
      <c r="C44" s="572"/>
      <c r="D44" s="572"/>
      <c r="E44" s="572"/>
      <c r="F44" s="572"/>
      <c r="G44" s="572"/>
      <c r="H44" s="572"/>
      <c r="I44" s="572"/>
      <c r="J44" s="572"/>
      <c r="K44" s="572"/>
      <c r="L44" s="574"/>
      <c r="M44" s="574"/>
      <c r="N44" s="574"/>
    </row>
    <row r="45" spans="1:14" s="570" customFormat="1" ht="15" hidden="1">
      <c r="A45" s="574"/>
      <c r="B45" s="574"/>
      <c r="C45" s="574"/>
      <c r="D45" s="574"/>
      <c r="E45" s="574"/>
      <c r="F45" s="574"/>
      <c r="G45" s="574"/>
      <c r="H45" s="574"/>
      <c r="I45" s="574"/>
      <c r="J45" s="574"/>
      <c r="K45" s="574"/>
      <c r="L45" s="574"/>
      <c r="M45" s="574"/>
      <c r="N45" s="574"/>
    </row>
    <row r="46" spans="1:14" ht="12.75" hidden="1">
      <c r="A46" s="567"/>
      <c r="B46" s="567"/>
      <c r="C46" s="567"/>
      <c r="D46" s="567"/>
      <c r="E46" s="567"/>
      <c r="F46" s="567"/>
      <c r="G46" s="567"/>
      <c r="H46" s="567"/>
      <c r="I46" s="567"/>
      <c r="J46" s="567"/>
      <c r="K46" s="567"/>
      <c r="L46" s="567"/>
      <c r="M46" s="567"/>
      <c r="N46" s="567"/>
    </row>
    <row r="47" ht="15.75" hidden="1">
      <c r="H47" s="549"/>
    </row>
    <row r="48" ht="12.75" hidden="1"/>
    <row r="49" ht="12.75" hidden="1"/>
    <row r="50" ht="12.75" hidden="1"/>
    <row r="51" ht="12.75" hidden="1"/>
    <row r="52" ht="12.75" hidden="1">
      <c r="D52" s="575"/>
    </row>
    <row r="53" ht="12.75" hidden="1">
      <c r="C53" s="575"/>
    </row>
    <row r="54" ht="12.75" hidden="1"/>
    <row r="55" ht="12.75" hidden="1"/>
    <row r="56" ht="12.75" hidden="1">
      <c r="L56" s="575" t="e">
        <f>J56/K56</f>
        <v>#DIV/0!</v>
      </c>
    </row>
    <row r="57" ht="12.75" hidden="1"/>
    <row r="58" ht="12.75" hidden="1"/>
    <row r="59" ht="12.75" hidden="1"/>
    <row r="60" ht="12.75" hidden="1"/>
    <row r="61" ht="12.75" hidden="1"/>
    <row r="62" ht="12.75" hidden="1"/>
    <row r="63" ht="12.75" hidden="1"/>
    <row r="64" ht="12.75" hidden="1"/>
    <row r="65" ht="12.75" hidden="1"/>
  </sheetData>
  <sheetProtection/>
  <mergeCells count="41">
    <mergeCell ref="P5:U5"/>
    <mergeCell ref="A5:B9"/>
    <mergeCell ref="C5:E7"/>
    <mergeCell ref="F5:O5"/>
    <mergeCell ref="I8:I9"/>
    <mergeCell ref="J8:K8"/>
    <mergeCell ref="L8:L9"/>
    <mergeCell ref="M8:O8"/>
    <mergeCell ref="A2:D2"/>
    <mergeCell ref="A3:D3"/>
    <mergeCell ref="L7:O7"/>
    <mergeCell ref="F6:H7"/>
    <mergeCell ref="I6:O6"/>
    <mergeCell ref="F1:N2"/>
    <mergeCell ref="F3:N3"/>
    <mergeCell ref="B29:G29"/>
    <mergeCell ref="P6:P9"/>
    <mergeCell ref="Q6:U6"/>
    <mergeCell ref="I7:K7"/>
    <mergeCell ref="N29:U29"/>
    <mergeCell ref="G8:H8"/>
    <mergeCell ref="S7:S9"/>
    <mergeCell ref="B30:G30"/>
    <mergeCell ref="N30:U30"/>
    <mergeCell ref="A11:B11"/>
    <mergeCell ref="Q7:Q9"/>
    <mergeCell ref="R7:R9"/>
    <mergeCell ref="T7:T9"/>
    <mergeCell ref="U7:U9"/>
    <mergeCell ref="C8:C9"/>
    <mergeCell ref="D8:E8"/>
    <mergeCell ref="F8:F9"/>
    <mergeCell ref="A42:K42"/>
    <mergeCell ref="B31:F31"/>
    <mergeCell ref="N31:U31"/>
    <mergeCell ref="B32:F32"/>
    <mergeCell ref="P32:T32"/>
    <mergeCell ref="Q33:R33"/>
    <mergeCell ref="B36:G36"/>
    <mergeCell ref="N36:U36"/>
    <mergeCell ref="O38:T38"/>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40"/>
  <sheetViews>
    <sheetView view="pageBreakPreview" zoomScaleSheetLayoutView="100" zoomScalePageLayoutView="0" workbookViewId="0" topLeftCell="A1">
      <selection activeCell="C11" sqref="C11:U28"/>
    </sheetView>
  </sheetViews>
  <sheetFormatPr defaultColWidth="9.00390625" defaultRowHeight="15.75"/>
  <cols>
    <col min="1" max="1" width="3.50390625" style="578" customWidth="1"/>
    <col min="2" max="2" width="23.375" style="578" customWidth="1"/>
    <col min="3" max="3" width="5.75390625" style="578" customWidth="1"/>
    <col min="4" max="4" width="5.625" style="578" customWidth="1"/>
    <col min="5" max="5" width="4.875" style="578" customWidth="1"/>
    <col min="6" max="9" width="5.75390625" style="578" customWidth="1"/>
    <col min="10" max="10" width="6.875" style="578" customWidth="1"/>
    <col min="11" max="11" width="7.50390625" style="578" customWidth="1"/>
    <col min="12" max="12" width="5.75390625" style="578" customWidth="1"/>
    <col min="13" max="13" width="8.75390625" style="578" customWidth="1"/>
    <col min="14" max="14" width="9.00390625" style="578" customWidth="1"/>
    <col min="15" max="15" width="7.375" style="578" customWidth="1"/>
    <col min="16" max="21" width="5.75390625" style="578" customWidth="1"/>
    <col min="22" max="16384" width="9.00390625" style="578" customWidth="1"/>
  </cols>
  <sheetData>
    <row r="1" spans="1:21" ht="19.5" customHeight="1">
      <c r="A1" s="629" t="s">
        <v>656</v>
      </c>
      <c r="B1" s="496"/>
      <c r="C1" s="496"/>
      <c r="D1" s="494"/>
      <c r="E1" s="576"/>
      <c r="F1" s="1429" t="s">
        <v>807</v>
      </c>
      <c r="G1" s="1429"/>
      <c r="H1" s="1429"/>
      <c r="I1" s="1429"/>
      <c r="J1" s="1429"/>
      <c r="K1" s="1429"/>
      <c r="L1" s="1429"/>
      <c r="M1" s="1429"/>
      <c r="N1" s="1429"/>
      <c r="O1" s="577"/>
      <c r="P1" s="1438" t="s">
        <v>653</v>
      </c>
      <c r="Q1" s="1439"/>
      <c r="R1" s="1439"/>
      <c r="S1" s="1439"/>
      <c r="T1" s="1439"/>
      <c r="U1" s="1439"/>
    </row>
    <row r="2" spans="1:21" ht="15.75" customHeight="1">
      <c r="A2" s="1408" t="s">
        <v>344</v>
      </c>
      <c r="B2" s="1408"/>
      <c r="C2" s="1408"/>
      <c r="D2" s="1408"/>
      <c r="E2" s="628"/>
      <c r="F2" s="1429"/>
      <c r="G2" s="1429"/>
      <c r="H2" s="1429"/>
      <c r="I2" s="1429"/>
      <c r="J2" s="1429"/>
      <c r="K2" s="1429"/>
      <c r="L2" s="1429"/>
      <c r="M2" s="1429"/>
      <c r="N2" s="1429"/>
      <c r="O2" s="577"/>
      <c r="P2" s="1431" t="str">
        <f>'Thong tin'!B4</f>
        <v>CTHADS Hải Phòng</v>
      </c>
      <c r="Q2" s="1431"/>
      <c r="R2" s="1431"/>
      <c r="S2" s="1431"/>
      <c r="T2" s="1431"/>
      <c r="U2" s="1431"/>
    </row>
    <row r="3" spans="1:20" ht="15.75" customHeight="1">
      <c r="A3" s="1409" t="s">
        <v>345</v>
      </c>
      <c r="B3" s="1409"/>
      <c r="C3" s="1409"/>
      <c r="D3" s="1409"/>
      <c r="E3" s="628"/>
      <c r="F3" s="1432" t="str">
        <f>'Thong tin'!B3</f>
        <v>03 tháng / năm 2018</v>
      </c>
      <c r="G3" s="1433"/>
      <c r="H3" s="1433"/>
      <c r="I3" s="1433"/>
      <c r="J3" s="1433"/>
      <c r="K3" s="1433"/>
      <c r="L3" s="1433"/>
      <c r="M3" s="1433"/>
      <c r="N3" s="1433"/>
      <c r="O3" s="580"/>
      <c r="P3" s="620" t="s">
        <v>652</v>
      </c>
      <c r="Q3" s="581"/>
      <c r="R3" s="581"/>
      <c r="S3" s="581"/>
      <c r="T3" s="581"/>
    </row>
    <row r="4" spans="1:20" ht="15" customHeight="1">
      <c r="A4" s="495" t="s">
        <v>217</v>
      </c>
      <c r="B4" s="465"/>
      <c r="C4" s="465"/>
      <c r="D4" s="465"/>
      <c r="E4" s="631"/>
      <c r="F4" s="631"/>
      <c r="G4" s="631"/>
      <c r="H4" s="631"/>
      <c r="I4" s="631"/>
      <c r="J4" s="631"/>
      <c r="K4" s="631"/>
      <c r="L4" s="631"/>
      <c r="M4" s="631"/>
      <c r="N4" s="631"/>
      <c r="O4" s="631"/>
      <c r="P4" s="582" t="s">
        <v>610</v>
      </c>
      <c r="Q4" s="579"/>
      <c r="R4" s="579"/>
      <c r="S4" s="579"/>
      <c r="T4" s="579"/>
    </row>
    <row r="5" spans="1:21" s="584" customFormat="1" ht="15.75" customHeight="1">
      <c r="A5" s="1434" t="s">
        <v>72</v>
      </c>
      <c r="B5" s="1435"/>
      <c r="C5" s="1418" t="s">
        <v>585</v>
      </c>
      <c r="D5" s="1418"/>
      <c r="E5" s="1418"/>
      <c r="F5" s="1418" t="s">
        <v>611</v>
      </c>
      <c r="G5" s="1418"/>
      <c r="H5" s="1418"/>
      <c r="I5" s="1418"/>
      <c r="J5" s="1418"/>
      <c r="K5" s="1418"/>
      <c r="L5" s="1418"/>
      <c r="M5" s="1418"/>
      <c r="N5" s="1418"/>
      <c r="O5" s="1418"/>
      <c r="P5" s="1418" t="s">
        <v>612</v>
      </c>
      <c r="Q5" s="1418"/>
      <c r="R5" s="1418"/>
      <c r="S5" s="1418"/>
      <c r="T5" s="1418"/>
      <c r="U5" s="1418"/>
    </row>
    <row r="6" spans="1:21" s="584" customFormat="1" ht="14.25" customHeight="1">
      <c r="A6" s="1436"/>
      <c r="B6" s="1437"/>
      <c r="C6" s="1418"/>
      <c r="D6" s="1418"/>
      <c r="E6" s="1418"/>
      <c r="F6" s="1418" t="s">
        <v>613</v>
      </c>
      <c r="G6" s="1418"/>
      <c r="H6" s="1418"/>
      <c r="I6" s="1418" t="s">
        <v>589</v>
      </c>
      <c r="J6" s="1418"/>
      <c r="K6" s="1418"/>
      <c r="L6" s="1418"/>
      <c r="M6" s="1418"/>
      <c r="N6" s="1418"/>
      <c r="O6" s="1418"/>
      <c r="P6" s="1418" t="s">
        <v>227</v>
      </c>
      <c r="Q6" s="1428" t="s">
        <v>7</v>
      </c>
      <c r="R6" s="1428"/>
      <c r="S6" s="1428"/>
      <c r="T6" s="1428"/>
      <c r="U6" s="1428"/>
    </row>
    <row r="7" spans="1:21" s="584" customFormat="1" ht="30" customHeight="1">
      <c r="A7" s="1436"/>
      <c r="B7" s="1437"/>
      <c r="C7" s="1418"/>
      <c r="D7" s="1418"/>
      <c r="E7" s="1418"/>
      <c r="F7" s="1418"/>
      <c r="G7" s="1418"/>
      <c r="H7" s="1418"/>
      <c r="I7" s="1418" t="s">
        <v>590</v>
      </c>
      <c r="J7" s="1418"/>
      <c r="K7" s="1418"/>
      <c r="L7" s="1418" t="s">
        <v>614</v>
      </c>
      <c r="M7" s="1418"/>
      <c r="N7" s="1418"/>
      <c r="O7" s="1418"/>
      <c r="P7" s="1418"/>
      <c r="Q7" s="1418" t="s">
        <v>592</v>
      </c>
      <c r="R7" s="1418" t="s">
        <v>615</v>
      </c>
      <c r="S7" s="1418" t="s">
        <v>616</v>
      </c>
      <c r="T7" s="1418" t="s">
        <v>617</v>
      </c>
      <c r="U7" s="1418" t="s">
        <v>618</v>
      </c>
    </row>
    <row r="8" spans="1:21" s="584" customFormat="1" ht="15" customHeight="1">
      <c r="A8" s="1436"/>
      <c r="B8" s="1437"/>
      <c r="C8" s="1418" t="s">
        <v>619</v>
      </c>
      <c r="D8" s="1418" t="s">
        <v>7</v>
      </c>
      <c r="E8" s="1418"/>
      <c r="F8" s="1418" t="s">
        <v>620</v>
      </c>
      <c r="G8" s="1418" t="s">
        <v>7</v>
      </c>
      <c r="H8" s="1418"/>
      <c r="I8" s="1418" t="s">
        <v>621</v>
      </c>
      <c r="J8" s="1418" t="s">
        <v>7</v>
      </c>
      <c r="K8" s="1418"/>
      <c r="L8" s="1418" t="s">
        <v>620</v>
      </c>
      <c r="M8" s="1418" t="s">
        <v>7</v>
      </c>
      <c r="N8" s="1418"/>
      <c r="O8" s="1418"/>
      <c r="P8" s="1418"/>
      <c r="Q8" s="1418"/>
      <c r="R8" s="1419"/>
      <c r="S8" s="1430"/>
      <c r="T8" s="1418"/>
      <c r="U8" s="1418"/>
    </row>
    <row r="9" spans="1:21" s="584" customFormat="1" ht="89.25" customHeight="1">
      <c r="A9" s="1436"/>
      <c r="B9" s="1437"/>
      <c r="C9" s="1418"/>
      <c r="D9" s="583" t="s">
        <v>622</v>
      </c>
      <c r="E9" s="583" t="s">
        <v>623</v>
      </c>
      <c r="F9" s="1419"/>
      <c r="G9" s="583" t="s">
        <v>624</v>
      </c>
      <c r="H9" s="583" t="s">
        <v>625</v>
      </c>
      <c r="I9" s="1419"/>
      <c r="J9" s="583" t="s">
        <v>626</v>
      </c>
      <c r="K9" s="583" t="s">
        <v>627</v>
      </c>
      <c r="L9" s="1418"/>
      <c r="M9" s="583" t="s">
        <v>628</v>
      </c>
      <c r="N9" s="583" t="s">
        <v>629</v>
      </c>
      <c r="O9" s="583" t="s">
        <v>630</v>
      </c>
      <c r="P9" s="1418"/>
      <c r="Q9" s="1418"/>
      <c r="R9" s="1419"/>
      <c r="S9" s="1430"/>
      <c r="T9" s="1418"/>
      <c r="U9" s="1418"/>
    </row>
    <row r="10" spans="1:21" ht="12.75">
      <c r="A10" s="585"/>
      <c r="B10" s="586" t="s">
        <v>606</v>
      </c>
      <c r="C10" s="587">
        <v>1</v>
      </c>
      <c r="D10" s="587">
        <v>2</v>
      </c>
      <c r="E10" s="587">
        <v>3</v>
      </c>
      <c r="F10" s="588">
        <v>4</v>
      </c>
      <c r="G10" s="589">
        <v>5</v>
      </c>
      <c r="H10" s="588">
        <v>6</v>
      </c>
      <c r="I10" s="589">
        <v>7</v>
      </c>
      <c r="J10" s="588">
        <v>8</v>
      </c>
      <c r="K10" s="589">
        <v>9</v>
      </c>
      <c r="L10" s="588">
        <v>10</v>
      </c>
      <c r="M10" s="589">
        <v>11</v>
      </c>
      <c r="N10" s="588">
        <v>12</v>
      </c>
      <c r="O10" s="589">
        <v>13</v>
      </c>
      <c r="P10" s="588">
        <v>14</v>
      </c>
      <c r="Q10" s="589">
        <v>15</v>
      </c>
      <c r="R10" s="588">
        <v>16</v>
      </c>
      <c r="S10" s="589">
        <v>17</v>
      </c>
      <c r="T10" s="588">
        <v>18</v>
      </c>
      <c r="U10" s="589">
        <v>19</v>
      </c>
    </row>
    <row r="11" spans="1:21" ht="12.75" customHeight="1">
      <c r="A11" s="1440" t="s">
        <v>37</v>
      </c>
      <c r="B11" s="1441"/>
      <c r="C11" s="642">
        <f>C12+C13</f>
        <v>0</v>
      </c>
      <c r="D11" s="642">
        <f aca="true" t="shared" si="0" ref="D11:U11">D12+D13</f>
        <v>0</v>
      </c>
      <c r="E11" s="642">
        <f t="shared" si="0"/>
        <v>0</v>
      </c>
      <c r="F11" s="642">
        <f t="shared" si="0"/>
        <v>0</v>
      </c>
      <c r="G11" s="642">
        <f t="shared" si="0"/>
        <v>0</v>
      </c>
      <c r="H11" s="642">
        <f t="shared" si="0"/>
        <v>0</v>
      </c>
      <c r="I11" s="642">
        <f t="shared" si="0"/>
        <v>0</v>
      </c>
      <c r="J11" s="642">
        <f t="shared" si="0"/>
        <v>0</v>
      </c>
      <c r="K11" s="642">
        <f t="shared" si="0"/>
        <v>0</v>
      </c>
      <c r="L11" s="642">
        <f t="shared" si="0"/>
        <v>0</v>
      </c>
      <c r="M11" s="642">
        <f t="shared" si="0"/>
        <v>0</v>
      </c>
      <c r="N11" s="642">
        <f t="shared" si="0"/>
        <v>0</v>
      </c>
      <c r="O11" s="642">
        <f t="shared" si="0"/>
        <v>0</v>
      </c>
      <c r="P11" s="642">
        <f t="shared" si="0"/>
        <v>0</v>
      </c>
      <c r="Q11" s="642">
        <f t="shared" si="0"/>
        <v>0</v>
      </c>
      <c r="R11" s="642">
        <f t="shared" si="0"/>
        <v>0</v>
      </c>
      <c r="S11" s="642">
        <f t="shared" si="0"/>
        <v>0</v>
      </c>
      <c r="T11" s="642">
        <f t="shared" si="0"/>
        <v>0</v>
      </c>
      <c r="U11" s="642">
        <f t="shared" si="0"/>
        <v>0</v>
      </c>
    </row>
    <row r="12" spans="1:21" s="663" customFormat="1" ht="12.75">
      <c r="A12" s="720" t="s">
        <v>0</v>
      </c>
      <c r="B12" s="721" t="s">
        <v>758</v>
      </c>
      <c r="C12" s="722">
        <f>D12+E12</f>
        <v>0</v>
      </c>
      <c r="D12" s="723">
        <v>0</v>
      </c>
      <c r="E12" s="724">
        <v>0</v>
      </c>
      <c r="F12" s="725">
        <f>G12+H12</f>
        <v>0</v>
      </c>
      <c r="G12" s="725">
        <v>0</v>
      </c>
      <c r="H12" s="725">
        <v>0</v>
      </c>
      <c r="I12" s="725">
        <f>J12+K12</f>
        <v>0</v>
      </c>
      <c r="J12" s="724">
        <v>0</v>
      </c>
      <c r="K12" s="725"/>
      <c r="L12" s="725">
        <f>M12+N12+O12</f>
        <v>0</v>
      </c>
      <c r="M12" s="725"/>
      <c r="N12" s="725"/>
      <c r="O12" s="724"/>
      <c r="P12" s="725">
        <f>Q12+R12+S12+T12+U12</f>
        <v>0</v>
      </c>
      <c r="Q12" s="725"/>
      <c r="R12" s="724"/>
      <c r="S12" s="725">
        <v>0</v>
      </c>
      <c r="T12" s="725"/>
      <c r="U12" s="724">
        <v>0</v>
      </c>
    </row>
    <row r="13" spans="1:21" s="663" customFormat="1" ht="12.75">
      <c r="A13" s="726" t="s">
        <v>1</v>
      </c>
      <c r="B13" s="721" t="s">
        <v>19</v>
      </c>
      <c r="C13" s="722">
        <f>SUM(C14:C28)</f>
        <v>0</v>
      </c>
      <c r="D13" s="722">
        <f aca="true" t="shared" si="1" ref="D13:U13">SUM(D14:D28)</f>
        <v>0</v>
      </c>
      <c r="E13" s="722">
        <f t="shared" si="1"/>
        <v>0</v>
      </c>
      <c r="F13" s="722">
        <f t="shared" si="1"/>
        <v>0</v>
      </c>
      <c r="G13" s="722">
        <f t="shared" si="1"/>
        <v>0</v>
      </c>
      <c r="H13" s="722">
        <f t="shared" si="1"/>
        <v>0</v>
      </c>
      <c r="I13" s="722">
        <f t="shared" si="1"/>
        <v>0</v>
      </c>
      <c r="J13" s="722">
        <f t="shared" si="1"/>
        <v>0</v>
      </c>
      <c r="K13" s="722">
        <f t="shared" si="1"/>
        <v>0</v>
      </c>
      <c r="L13" s="722">
        <f t="shared" si="1"/>
        <v>0</v>
      </c>
      <c r="M13" s="722">
        <f t="shared" si="1"/>
        <v>0</v>
      </c>
      <c r="N13" s="722">
        <f t="shared" si="1"/>
        <v>0</v>
      </c>
      <c r="O13" s="722">
        <f t="shared" si="1"/>
        <v>0</v>
      </c>
      <c r="P13" s="722">
        <f t="shared" si="1"/>
        <v>0</v>
      </c>
      <c r="Q13" s="722">
        <f t="shared" si="1"/>
        <v>0</v>
      </c>
      <c r="R13" s="722">
        <f t="shared" si="1"/>
        <v>0</v>
      </c>
      <c r="S13" s="722">
        <f t="shared" si="1"/>
        <v>0</v>
      </c>
      <c r="T13" s="722">
        <f t="shared" si="1"/>
        <v>0</v>
      </c>
      <c r="U13" s="722">
        <f t="shared" si="1"/>
        <v>0</v>
      </c>
    </row>
    <row r="14" spans="1:21" s="663" customFormat="1" ht="12.75">
      <c r="A14" s="716">
        <v>1</v>
      </c>
      <c r="B14" s="703" t="s">
        <v>759</v>
      </c>
      <c r="C14" s="722">
        <f aca="true" t="shared" si="2" ref="C14:C28">D14+E14</f>
        <v>0</v>
      </c>
      <c r="D14" s="727"/>
      <c r="E14" s="724"/>
      <c r="F14" s="725">
        <f aca="true" t="shared" si="3" ref="F14:F28">G14+H14</f>
        <v>0</v>
      </c>
      <c r="G14" s="725"/>
      <c r="H14" s="725"/>
      <c r="I14" s="725">
        <f aca="true" t="shared" si="4" ref="I14:I28">J14+K14</f>
        <v>0</v>
      </c>
      <c r="J14" s="724"/>
      <c r="K14" s="725"/>
      <c r="L14" s="725">
        <f aca="true" t="shared" si="5" ref="L14:L28">M14+N14+O14</f>
        <v>0</v>
      </c>
      <c r="M14" s="725"/>
      <c r="N14" s="725"/>
      <c r="O14" s="724"/>
      <c r="P14" s="725">
        <f aca="true" t="shared" si="6" ref="P14:P28">Q14+R14+S14+T14+U14</f>
        <v>0</v>
      </c>
      <c r="Q14" s="725"/>
      <c r="R14" s="724"/>
      <c r="S14" s="725"/>
      <c r="T14" s="725"/>
      <c r="U14" s="724"/>
    </row>
    <row r="15" spans="1:21" s="663" customFormat="1" ht="12.75">
      <c r="A15" s="716">
        <v>2</v>
      </c>
      <c r="B15" s="703" t="s">
        <v>760</v>
      </c>
      <c r="C15" s="722">
        <f t="shared" si="2"/>
        <v>0</v>
      </c>
      <c r="D15" s="727"/>
      <c r="E15" s="724"/>
      <c r="F15" s="725">
        <f t="shared" si="3"/>
        <v>0</v>
      </c>
      <c r="G15" s="725"/>
      <c r="H15" s="725"/>
      <c r="I15" s="725">
        <f t="shared" si="4"/>
        <v>0</v>
      </c>
      <c r="J15" s="724"/>
      <c r="K15" s="725"/>
      <c r="L15" s="725">
        <f t="shared" si="5"/>
        <v>0</v>
      </c>
      <c r="M15" s="725"/>
      <c r="N15" s="725"/>
      <c r="O15" s="724"/>
      <c r="P15" s="725">
        <f t="shared" si="6"/>
        <v>0</v>
      </c>
      <c r="Q15" s="725"/>
      <c r="R15" s="724"/>
      <c r="S15" s="725"/>
      <c r="T15" s="725"/>
      <c r="U15" s="724"/>
    </row>
    <row r="16" spans="1:21" s="663" customFormat="1" ht="12.75">
      <c r="A16" s="716">
        <v>3</v>
      </c>
      <c r="B16" s="703" t="s">
        <v>761</v>
      </c>
      <c r="C16" s="722">
        <f t="shared" si="2"/>
        <v>0</v>
      </c>
      <c r="D16" s="727"/>
      <c r="E16" s="724"/>
      <c r="F16" s="725">
        <f t="shared" si="3"/>
        <v>0</v>
      </c>
      <c r="G16" s="725"/>
      <c r="H16" s="725"/>
      <c r="I16" s="725">
        <f t="shared" si="4"/>
        <v>0</v>
      </c>
      <c r="J16" s="724"/>
      <c r="K16" s="725"/>
      <c r="L16" s="725">
        <f t="shared" si="5"/>
        <v>0</v>
      </c>
      <c r="M16" s="725"/>
      <c r="N16" s="725"/>
      <c r="O16" s="724"/>
      <c r="P16" s="725">
        <f t="shared" si="6"/>
        <v>0</v>
      </c>
      <c r="Q16" s="725"/>
      <c r="R16" s="724"/>
      <c r="S16" s="725"/>
      <c r="T16" s="725"/>
      <c r="U16" s="724"/>
    </row>
    <row r="17" spans="1:21" s="663" customFormat="1" ht="12.75">
      <c r="A17" s="716">
        <v>4</v>
      </c>
      <c r="B17" s="703" t="s">
        <v>762</v>
      </c>
      <c r="C17" s="722">
        <f t="shared" si="2"/>
        <v>0</v>
      </c>
      <c r="D17" s="727"/>
      <c r="E17" s="724"/>
      <c r="F17" s="725">
        <f t="shared" si="3"/>
        <v>0</v>
      </c>
      <c r="G17" s="725"/>
      <c r="H17" s="725"/>
      <c r="I17" s="725">
        <f t="shared" si="4"/>
        <v>0</v>
      </c>
      <c r="J17" s="724"/>
      <c r="K17" s="725"/>
      <c r="L17" s="725">
        <f t="shared" si="5"/>
        <v>0</v>
      </c>
      <c r="M17" s="725"/>
      <c r="N17" s="725"/>
      <c r="O17" s="724"/>
      <c r="P17" s="725">
        <f t="shared" si="6"/>
        <v>0</v>
      </c>
      <c r="Q17" s="725"/>
      <c r="R17" s="724"/>
      <c r="S17" s="725"/>
      <c r="T17" s="725"/>
      <c r="U17" s="724"/>
    </row>
    <row r="18" spans="1:21" s="663" customFormat="1" ht="12.75">
      <c r="A18" s="716">
        <v>5</v>
      </c>
      <c r="B18" s="703" t="s">
        <v>763</v>
      </c>
      <c r="C18" s="722">
        <f t="shared" si="2"/>
        <v>0</v>
      </c>
      <c r="D18" s="727"/>
      <c r="E18" s="724"/>
      <c r="F18" s="725">
        <f t="shared" si="3"/>
        <v>0</v>
      </c>
      <c r="G18" s="725"/>
      <c r="H18" s="725"/>
      <c r="I18" s="725">
        <f t="shared" si="4"/>
        <v>0</v>
      </c>
      <c r="J18" s="724"/>
      <c r="K18" s="725"/>
      <c r="L18" s="725">
        <f t="shared" si="5"/>
        <v>0</v>
      </c>
      <c r="M18" s="725"/>
      <c r="N18" s="725"/>
      <c r="O18" s="724"/>
      <c r="P18" s="725">
        <f t="shared" si="6"/>
        <v>0</v>
      </c>
      <c r="Q18" s="725"/>
      <c r="R18" s="724"/>
      <c r="S18" s="725"/>
      <c r="T18" s="725"/>
      <c r="U18" s="724"/>
    </row>
    <row r="19" spans="1:21" s="663" customFormat="1" ht="12.75">
      <c r="A19" s="716">
        <v>6</v>
      </c>
      <c r="B19" s="703" t="s">
        <v>764</v>
      </c>
      <c r="C19" s="722">
        <f t="shared" si="2"/>
        <v>0</v>
      </c>
      <c r="D19" s="727"/>
      <c r="E19" s="724"/>
      <c r="F19" s="725">
        <f t="shared" si="3"/>
        <v>0</v>
      </c>
      <c r="G19" s="725"/>
      <c r="H19" s="725"/>
      <c r="I19" s="725">
        <f t="shared" si="4"/>
        <v>0</v>
      </c>
      <c r="J19" s="724"/>
      <c r="K19" s="725"/>
      <c r="L19" s="725">
        <f t="shared" si="5"/>
        <v>0</v>
      </c>
      <c r="M19" s="725"/>
      <c r="N19" s="725"/>
      <c r="O19" s="724"/>
      <c r="P19" s="725">
        <f t="shared" si="6"/>
        <v>0</v>
      </c>
      <c r="Q19" s="725"/>
      <c r="R19" s="724"/>
      <c r="S19" s="725"/>
      <c r="T19" s="725"/>
      <c r="U19" s="724"/>
    </row>
    <row r="20" spans="1:21" s="663" customFormat="1" ht="12.75">
      <c r="A20" s="716">
        <v>7</v>
      </c>
      <c r="B20" s="703" t="s">
        <v>765</v>
      </c>
      <c r="C20" s="722">
        <f t="shared" si="2"/>
        <v>0</v>
      </c>
      <c r="D20" s="727"/>
      <c r="E20" s="724"/>
      <c r="F20" s="725">
        <f t="shared" si="3"/>
        <v>0</v>
      </c>
      <c r="G20" s="725"/>
      <c r="H20" s="725"/>
      <c r="I20" s="725">
        <f t="shared" si="4"/>
        <v>0</v>
      </c>
      <c r="J20" s="724"/>
      <c r="K20" s="725"/>
      <c r="L20" s="725">
        <f t="shared" si="5"/>
        <v>0</v>
      </c>
      <c r="M20" s="725"/>
      <c r="N20" s="725"/>
      <c r="O20" s="724"/>
      <c r="P20" s="725">
        <f t="shared" si="6"/>
        <v>0</v>
      </c>
      <c r="Q20" s="725"/>
      <c r="R20" s="724"/>
      <c r="S20" s="725"/>
      <c r="T20" s="725"/>
      <c r="U20" s="724"/>
    </row>
    <row r="21" spans="1:21" s="663" customFormat="1" ht="12.75">
      <c r="A21" s="716">
        <v>8</v>
      </c>
      <c r="B21" s="703" t="s">
        <v>766</v>
      </c>
      <c r="C21" s="722">
        <f t="shared" si="2"/>
        <v>0</v>
      </c>
      <c r="D21" s="727"/>
      <c r="E21" s="724"/>
      <c r="F21" s="725">
        <f t="shared" si="3"/>
        <v>0</v>
      </c>
      <c r="G21" s="725"/>
      <c r="H21" s="725"/>
      <c r="I21" s="725">
        <f t="shared" si="4"/>
        <v>0</v>
      </c>
      <c r="J21" s="724"/>
      <c r="K21" s="725"/>
      <c r="L21" s="725">
        <f t="shared" si="5"/>
        <v>0</v>
      </c>
      <c r="M21" s="725"/>
      <c r="N21" s="725"/>
      <c r="O21" s="724"/>
      <c r="P21" s="725">
        <f t="shared" si="6"/>
        <v>0</v>
      </c>
      <c r="Q21" s="725"/>
      <c r="R21" s="724"/>
      <c r="S21" s="725"/>
      <c r="T21" s="725"/>
      <c r="U21" s="724"/>
    </row>
    <row r="22" spans="1:21" s="663" customFormat="1" ht="12.75">
      <c r="A22" s="716">
        <v>9</v>
      </c>
      <c r="B22" s="703" t="s">
        <v>767</v>
      </c>
      <c r="C22" s="722">
        <f t="shared" si="2"/>
        <v>0</v>
      </c>
      <c r="D22" s="727"/>
      <c r="E22" s="724"/>
      <c r="F22" s="725">
        <f t="shared" si="3"/>
        <v>0</v>
      </c>
      <c r="G22" s="725"/>
      <c r="H22" s="725"/>
      <c r="I22" s="725">
        <f t="shared" si="4"/>
        <v>0</v>
      </c>
      <c r="J22" s="724"/>
      <c r="K22" s="725"/>
      <c r="L22" s="725">
        <f t="shared" si="5"/>
        <v>0</v>
      </c>
      <c r="M22" s="725"/>
      <c r="N22" s="725"/>
      <c r="O22" s="724"/>
      <c r="P22" s="725">
        <f t="shared" si="6"/>
        <v>0</v>
      </c>
      <c r="Q22" s="725"/>
      <c r="R22" s="724"/>
      <c r="S22" s="725"/>
      <c r="T22" s="725"/>
      <c r="U22" s="724"/>
    </row>
    <row r="23" spans="1:21" s="663" customFormat="1" ht="12.75">
      <c r="A23" s="716">
        <v>10</v>
      </c>
      <c r="B23" s="703" t="s">
        <v>768</v>
      </c>
      <c r="C23" s="722">
        <f t="shared" si="2"/>
        <v>0</v>
      </c>
      <c r="D23" s="727"/>
      <c r="E23" s="724"/>
      <c r="F23" s="725">
        <f t="shared" si="3"/>
        <v>0</v>
      </c>
      <c r="G23" s="725"/>
      <c r="H23" s="725"/>
      <c r="I23" s="725">
        <f t="shared" si="4"/>
        <v>0</v>
      </c>
      <c r="J23" s="724"/>
      <c r="K23" s="725"/>
      <c r="L23" s="725">
        <f t="shared" si="5"/>
        <v>0</v>
      </c>
      <c r="M23" s="725"/>
      <c r="N23" s="725"/>
      <c r="O23" s="724"/>
      <c r="P23" s="725">
        <f t="shared" si="6"/>
        <v>0</v>
      </c>
      <c r="Q23" s="725"/>
      <c r="R23" s="724"/>
      <c r="S23" s="725"/>
      <c r="T23" s="725"/>
      <c r="U23" s="724"/>
    </row>
    <row r="24" spans="1:21" s="660" customFormat="1" ht="15.75" customHeight="1">
      <c r="A24" s="716">
        <v>11</v>
      </c>
      <c r="B24" s="703" t="s">
        <v>769</v>
      </c>
      <c r="C24" s="722">
        <f t="shared" si="2"/>
        <v>0</v>
      </c>
      <c r="D24" s="727"/>
      <c r="E24" s="724"/>
      <c r="F24" s="725">
        <f t="shared" si="3"/>
        <v>0</v>
      </c>
      <c r="G24" s="725"/>
      <c r="H24" s="725"/>
      <c r="I24" s="725">
        <f t="shared" si="4"/>
        <v>0</v>
      </c>
      <c r="J24" s="724"/>
      <c r="K24" s="725"/>
      <c r="L24" s="725">
        <f t="shared" si="5"/>
        <v>0</v>
      </c>
      <c r="M24" s="725"/>
      <c r="N24" s="725"/>
      <c r="O24" s="724"/>
      <c r="P24" s="725">
        <f t="shared" si="6"/>
        <v>0</v>
      </c>
      <c r="Q24" s="725"/>
      <c r="R24" s="724"/>
      <c r="S24" s="725"/>
      <c r="T24" s="725"/>
      <c r="U24" s="724"/>
    </row>
    <row r="25" spans="1:21" s="660" customFormat="1" ht="15.75" customHeight="1">
      <c r="A25" s="716">
        <v>12</v>
      </c>
      <c r="B25" s="703" t="s">
        <v>770</v>
      </c>
      <c r="C25" s="722">
        <f t="shared" si="2"/>
        <v>0</v>
      </c>
      <c r="D25" s="727"/>
      <c r="E25" s="724"/>
      <c r="F25" s="725">
        <f t="shared" si="3"/>
        <v>0</v>
      </c>
      <c r="G25" s="725"/>
      <c r="H25" s="725"/>
      <c r="I25" s="725">
        <f t="shared" si="4"/>
        <v>0</v>
      </c>
      <c r="J25" s="724"/>
      <c r="K25" s="725"/>
      <c r="L25" s="725">
        <f t="shared" si="5"/>
        <v>0</v>
      </c>
      <c r="M25" s="725"/>
      <c r="N25" s="725"/>
      <c r="O25" s="724"/>
      <c r="P25" s="725">
        <f t="shared" si="6"/>
        <v>0</v>
      </c>
      <c r="Q25" s="725"/>
      <c r="R25" s="724"/>
      <c r="S25" s="725"/>
      <c r="T25" s="725"/>
      <c r="U25" s="724"/>
    </row>
    <row r="26" spans="1:21" s="660" customFormat="1" ht="15.75" customHeight="1">
      <c r="A26" s="716">
        <v>13</v>
      </c>
      <c r="B26" s="703" t="s">
        <v>771</v>
      </c>
      <c r="C26" s="722">
        <f t="shared" si="2"/>
        <v>0</v>
      </c>
      <c r="D26" s="727"/>
      <c r="E26" s="724"/>
      <c r="F26" s="725">
        <f t="shared" si="3"/>
        <v>0</v>
      </c>
      <c r="G26" s="725"/>
      <c r="H26" s="725"/>
      <c r="I26" s="725">
        <f t="shared" si="4"/>
        <v>0</v>
      </c>
      <c r="J26" s="724"/>
      <c r="K26" s="725"/>
      <c r="L26" s="725">
        <f t="shared" si="5"/>
        <v>0</v>
      </c>
      <c r="M26" s="725"/>
      <c r="N26" s="725"/>
      <c r="O26" s="724"/>
      <c r="P26" s="725">
        <f t="shared" si="6"/>
        <v>0</v>
      </c>
      <c r="Q26" s="725"/>
      <c r="R26" s="724"/>
      <c r="S26" s="725"/>
      <c r="T26" s="725"/>
      <c r="U26" s="724"/>
    </row>
    <row r="27" spans="1:21" s="660" customFormat="1" ht="15.75" customHeight="1">
      <c r="A27" s="716">
        <v>14</v>
      </c>
      <c r="B27" s="703" t="s">
        <v>772</v>
      </c>
      <c r="C27" s="722">
        <f t="shared" si="2"/>
        <v>0</v>
      </c>
      <c r="D27" s="727"/>
      <c r="E27" s="724"/>
      <c r="F27" s="725">
        <f t="shared" si="3"/>
        <v>0</v>
      </c>
      <c r="G27" s="725"/>
      <c r="H27" s="725"/>
      <c r="I27" s="725">
        <f t="shared" si="4"/>
        <v>0</v>
      </c>
      <c r="J27" s="724"/>
      <c r="K27" s="725"/>
      <c r="L27" s="725">
        <f t="shared" si="5"/>
        <v>0</v>
      </c>
      <c r="M27" s="725"/>
      <c r="N27" s="725"/>
      <c r="O27" s="724"/>
      <c r="P27" s="725">
        <f t="shared" si="6"/>
        <v>0</v>
      </c>
      <c r="Q27" s="725"/>
      <c r="R27" s="724"/>
      <c r="S27" s="725"/>
      <c r="T27" s="725"/>
      <c r="U27" s="724"/>
    </row>
    <row r="28" spans="1:21" s="660" customFormat="1" ht="15.75" customHeight="1">
      <c r="A28" s="716">
        <v>15</v>
      </c>
      <c r="B28" s="703" t="s">
        <v>773</v>
      </c>
      <c r="C28" s="722">
        <f t="shared" si="2"/>
        <v>0</v>
      </c>
      <c r="D28" s="727"/>
      <c r="E28" s="724"/>
      <c r="F28" s="725">
        <f t="shared" si="3"/>
        <v>0</v>
      </c>
      <c r="G28" s="725"/>
      <c r="H28" s="725"/>
      <c r="I28" s="725">
        <f t="shared" si="4"/>
        <v>0</v>
      </c>
      <c r="J28" s="724"/>
      <c r="K28" s="725"/>
      <c r="L28" s="725">
        <f t="shared" si="5"/>
        <v>0</v>
      </c>
      <c r="M28" s="725"/>
      <c r="N28" s="725"/>
      <c r="O28" s="724"/>
      <c r="P28" s="725">
        <f t="shared" si="6"/>
        <v>0</v>
      </c>
      <c r="Q28" s="725"/>
      <c r="R28" s="724"/>
      <c r="S28" s="725"/>
      <c r="T28" s="725"/>
      <c r="U28" s="724"/>
    </row>
    <row r="29" spans="1:21" ht="26.25" customHeight="1">
      <c r="A29" s="590"/>
      <c r="B29" s="1420"/>
      <c r="C29" s="1420"/>
      <c r="D29" s="1420"/>
      <c r="E29" s="1420"/>
      <c r="F29" s="1420"/>
      <c r="G29" s="1420"/>
      <c r="H29" s="591"/>
      <c r="I29" s="591"/>
      <c r="J29" s="591"/>
      <c r="K29" s="591"/>
      <c r="L29" s="591"/>
      <c r="M29" s="592"/>
      <c r="N29" s="1407" t="str">
        <f>'Thong tin'!B8</f>
        <v>Hải Phòng, ngày 04 tháng 01 năm 2018</v>
      </c>
      <c r="O29" s="1407"/>
      <c r="P29" s="1407"/>
      <c r="Q29" s="1407"/>
      <c r="R29" s="1407"/>
      <c r="S29" s="1407"/>
      <c r="T29" s="1407"/>
      <c r="U29" s="1407"/>
    </row>
    <row r="30" spans="1:21" ht="21.75" customHeight="1">
      <c r="A30" s="590"/>
      <c r="B30" s="1417" t="s">
        <v>631</v>
      </c>
      <c r="C30" s="1417"/>
      <c r="D30" s="1417"/>
      <c r="E30" s="1417"/>
      <c r="F30" s="1417"/>
      <c r="G30" s="593"/>
      <c r="H30" s="594"/>
      <c r="I30" s="594"/>
      <c r="J30" s="594"/>
      <c r="K30" s="594"/>
      <c r="L30" s="594"/>
      <c r="M30" s="595"/>
      <c r="N30" s="1401" t="str">
        <f>'Thong tin'!B7</f>
        <v>
PHÓ CỤC TRƯỞNG</v>
      </c>
      <c r="O30" s="1396"/>
      <c r="P30" s="1396"/>
      <c r="Q30" s="1396"/>
      <c r="R30" s="1396"/>
      <c r="S30" s="1396"/>
      <c r="T30" s="1396"/>
      <c r="U30" s="1396"/>
    </row>
    <row r="31" spans="1:21" ht="18.75" customHeight="1">
      <c r="A31" s="598"/>
      <c r="B31" s="1422"/>
      <c r="C31" s="1422"/>
      <c r="D31" s="1422"/>
      <c r="E31" s="1422"/>
      <c r="F31" s="1422"/>
      <c r="G31" s="599"/>
      <c r="H31" s="599"/>
      <c r="I31" s="599"/>
      <c r="J31" s="599"/>
      <c r="K31" s="599"/>
      <c r="L31" s="599"/>
      <c r="M31" s="599"/>
      <c r="N31" s="1423"/>
      <c r="O31" s="1423"/>
      <c r="P31" s="1423"/>
      <c r="Q31" s="1423"/>
      <c r="R31" s="1423"/>
      <c r="S31" s="1423"/>
      <c r="T31" s="1423"/>
      <c r="U31" s="1423"/>
    </row>
    <row r="32" spans="2:21" ht="31.5" customHeight="1">
      <c r="B32" s="1424"/>
      <c r="C32" s="1424"/>
      <c r="D32" s="1424"/>
      <c r="E32" s="1424"/>
      <c r="F32" s="1424"/>
      <c r="G32" s="595"/>
      <c r="H32" s="595"/>
      <c r="I32" s="595"/>
      <c r="J32" s="595"/>
      <c r="K32" s="595"/>
      <c r="L32" s="595"/>
      <c r="M32" s="595"/>
      <c r="N32" s="595"/>
      <c r="O32" s="595"/>
      <c r="P32" s="1424"/>
      <c r="Q32" s="1424"/>
      <c r="R32" s="1424"/>
      <c r="S32" s="1424"/>
      <c r="T32" s="595"/>
      <c r="U32" s="595"/>
    </row>
    <row r="33" spans="2:21" ht="18">
      <c r="B33" s="595"/>
      <c r="C33" s="595"/>
      <c r="D33" s="595"/>
      <c r="E33" s="595"/>
      <c r="F33" s="595"/>
      <c r="G33" s="595"/>
      <c r="H33" s="595"/>
      <c r="I33" s="595"/>
      <c r="J33" s="595"/>
      <c r="K33" s="595"/>
      <c r="L33" s="595"/>
      <c r="M33" s="595"/>
      <c r="N33" s="595"/>
      <c r="O33" s="595"/>
      <c r="P33" s="595"/>
      <c r="Q33" s="595"/>
      <c r="R33" s="595"/>
      <c r="S33" s="595"/>
      <c r="T33" s="595"/>
      <c r="U33" s="595"/>
    </row>
    <row r="34" spans="2:21" ht="18">
      <c r="B34" s="595"/>
      <c r="C34" s="595"/>
      <c r="D34" s="595"/>
      <c r="E34" s="595"/>
      <c r="F34" s="595"/>
      <c r="G34" s="595"/>
      <c r="H34" s="595"/>
      <c r="I34" s="595"/>
      <c r="J34" s="595"/>
      <c r="K34" s="595"/>
      <c r="L34" s="595"/>
      <c r="M34" s="595"/>
      <c r="N34" s="595"/>
      <c r="O34" s="595"/>
      <c r="P34" s="595"/>
      <c r="Q34" s="595"/>
      <c r="R34" s="595"/>
      <c r="S34" s="595"/>
      <c r="T34" s="595"/>
      <c r="U34" s="595"/>
    </row>
    <row r="35" spans="2:21" ht="18.75">
      <c r="B35" s="1427" t="str">
        <f>'Thong tin'!B5</f>
        <v>Trần Thị Minh</v>
      </c>
      <c r="C35" s="1427"/>
      <c r="D35" s="1427"/>
      <c r="E35" s="1427"/>
      <c r="F35" s="1427"/>
      <c r="G35" s="1427"/>
      <c r="H35" s="600"/>
      <c r="I35" s="566"/>
      <c r="J35" s="566"/>
      <c r="K35" s="566"/>
      <c r="L35" s="566"/>
      <c r="M35" s="566"/>
      <c r="N35" s="1426" t="str">
        <f>'Thong tin'!B6</f>
        <v>Nguyễn Thị Mai Hoa</v>
      </c>
      <c r="O35" s="1426"/>
      <c r="P35" s="1426"/>
      <c r="Q35" s="1426"/>
      <c r="R35" s="1426"/>
      <c r="S35" s="1426"/>
      <c r="T35" s="1426"/>
      <c r="U35" s="1426"/>
    </row>
    <row r="36" ht="12.75" hidden="1"/>
    <row r="37" spans="1:20" ht="13.5" hidden="1">
      <c r="A37" s="601" t="s">
        <v>226</v>
      </c>
      <c r="O37" s="1425"/>
      <c r="P37" s="1425"/>
      <c r="Q37" s="1425"/>
      <c r="R37" s="1425"/>
      <c r="S37" s="1425"/>
      <c r="T37" s="1425"/>
    </row>
    <row r="38" spans="2:14" ht="12.75" customHeight="1" hidden="1">
      <c r="B38" s="1421" t="s">
        <v>632</v>
      </c>
      <c r="C38" s="1421"/>
      <c r="D38" s="1421"/>
      <c r="E38" s="1421"/>
      <c r="F38" s="1421"/>
      <c r="G38" s="1421"/>
      <c r="H38" s="1421"/>
      <c r="I38" s="1421"/>
      <c r="J38" s="1421"/>
      <c r="K38" s="1421"/>
      <c r="L38" s="602"/>
      <c r="M38" s="602"/>
      <c r="N38" s="602"/>
    </row>
    <row r="39" spans="1:14" ht="12.75" customHeight="1" hidden="1">
      <c r="A39" s="602"/>
      <c r="B39" s="603" t="s">
        <v>633</v>
      </c>
      <c r="C39" s="602"/>
      <c r="D39" s="602"/>
      <c r="E39" s="602"/>
      <c r="F39" s="602"/>
      <c r="G39" s="602"/>
      <c r="H39" s="602"/>
      <c r="I39" s="602"/>
      <c r="J39" s="602"/>
      <c r="K39" s="602"/>
      <c r="L39" s="602"/>
      <c r="M39" s="602"/>
      <c r="N39" s="602"/>
    </row>
    <row r="40" spans="2:14" ht="12.75" customHeight="1" hidden="1">
      <c r="B40" s="604" t="s">
        <v>634</v>
      </c>
      <c r="C40" s="567"/>
      <c r="D40" s="567"/>
      <c r="E40" s="567"/>
      <c r="F40" s="567"/>
      <c r="G40" s="567"/>
      <c r="H40" s="567"/>
      <c r="I40" s="567"/>
      <c r="J40" s="567"/>
      <c r="K40" s="567"/>
      <c r="L40" s="567"/>
      <c r="M40" s="567"/>
      <c r="N40" s="567"/>
    </row>
  </sheetData>
  <sheetProtection/>
  <mergeCells count="42">
    <mergeCell ref="A11:B11"/>
    <mergeCell ref="I7:K7"/>
    <mergeCell ref="R7:R9"/>
    <mergeCell ref="P5:U5"/>
    <mergeCell ref="P6:P9"/>
    <mergeCell ref="F6:H7"/>
    <mergeCell ref="I6:O6"/>
    <mergeCell ref="F8:F9"/>
    <mergeCell ref="A2:D2"/>
    <mergeCell ref="A3:D3"/>
    <mergeCell ref="A5:B9"/>
    <mergeCell ref="C5:E7"/>
    <mergeCell ref="D8:E8"/>
    <mergeCell ref="P1:U1"/>
    <mergeCell ref="C8:C9"/>
    <mergeCell ref="N29:U29"/>
    <mergeCell ref="G8:H8"/>
    <mergeCell ref="Q7:Q9"/>
    <mergeCell ref="Q6:U6"/>
    <mergeCell ref="F1:N2"/>
    <mergeCell ref="S7:S9"/>
    <mergeCell ref="F5:O5"/>
    <mergeCell ref="P2:U2"/>
    <mergeCell ref="F3:N3"/>
    <mergeCell ref="B38:K38"/>
    <mergeCell ref="B31:F31"/>
    <mergeCell ref="N31:U31"/>
    <mergeCell ref="B32:F32"/>
    <mergeCell ref="P32:S32"/>
    <mergeCell ref="O37:T37"/>
    <mergeCell ref="N35:U35"/>
    <mergeCell ref="B35:G35"/>
    <mergeCell ref="B30:F30"/>
    <mergeCell ref="N30:U30"/>
    <mergeCell ref="L8:L9"/>
    <mergeCell ref="M8:O8"/>
    <mergeCell ref="T7:T9"/>
    <mergeCell ref="L7:O7"/>
    <mergeCell ref="U7:U9"/>
    <mergeCell ref="I8:I9"/>
    <mergeCell ref="J8:K8"/>
    <mergeCell ref="B29:G29"/>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6.xml><?xml version="1.0" encoding="utf-8"?>
<worksheet xmlns="http://schemas.openxmlformats.org/spreadsheetml/2006/main" xmlns:r="http://schemas.openxmlformats.org/officeDocument/2006/relationships">
  <sheetPr>
    <tabColor indexed="14"/>
  </sheetPr>
  <dimension ref="A1:J36"/>
  <sheetViews>
    <sheetView view="pageBreakPreview" zoomScaleSheetLayoutView="100" zoomScalePageLayoutView="0" workbookViewId="0" topLeftCell="A1">
      <selection activeCell="C11" sqref="C11:J28"/>
    </sheetView>
  </sheetViews>
  <sheetFormatPr defaultColWidth="9.00390625" defaultRowHeight="15.75"/>
  <cols>
    <col min="1" max="1" width="4.25390625" style="578" customWidth="1"/>
    <col min="2" max="2" width="27.875" style="578" customWidth="1"/>
    <col min="3" max="3" width="12.25390625" style="578" customWidth="1"/>
    <col min="4" max="5" width="11.00390625" style="578" customWidth="1"/>
    <col min="6" max="6" width="12.75390625" style="578" customWidth="1"/>
    <col min="7" max="7" width="11.50390625" style="578" customWidth="1"/>
    <col min="8" max="8" width="11.00390625" style="578" customWidth="1"/>
    <col min="9" max="9" width="11.875" style="578" customWidth="1"/>
    <col min="10" max="10" width="13.875" style="578" customWidth="1"/>
    <col min="11" max="16384" width="9.00390625" style="578" customWidth="1"/>
  </cols>
  <sheetData>
    <row r="1" spans="1:10" ht="16.5" customHeight="1">
      <c r="A1" s="1460" t="s">
        <v>635</v>
      </c>
      <c r="B1" s="1460"/>
      <c r="C1" s="1466" t="s">
        <v>636</v>
      </c>
      <c r="D1" s="1466"/>
      <c r="E1" s="1466"/>
      <c r="F1" s="1466"/>
      <c r="G1" s="1466"/>
      <c r="H1" s="1466"/>
      <c r="I1" s="1461" t="s">
        <v>654</v>
      </c>
      <c r="J1" s="1462"/>
    </row>
    <row r="2" spans="1:10" ht="15" customHeight="1">
      <c r="A2" s="632" t="s">
        <v>344</v>
      </c>
      <c r="B2" s="633"/>
      <c r="C2" s="1466"/>
      <c r="D2" s="1466"/>
      <c r="E2" s="1466"/>
      <c r="F2" s="1466"/>
      <c r="G2" s="1466"/>
      <c r="H2" s="1466"/>
      <c r="I2" s="606" t="str">
        <f>'Thong tin'!B4</f>
        <v>CTHADS Hải Phòng</v>
      </c>
      <c r="J2" s="606"/>
    </row>
    <row r="3" spans="1:10" ht="15" customHeight="1">
      <c r="A3" s="632" t="s">
        <v>345</v>
      </c>
      <c r="B3" s="632"/>
      <c r="C3" s="1463" t="str">
        <f>'Thong tin'!B3</f>
        <v>03 tháng / năm 2018</v>
      </c>
      <c r="D3" s="1464"/>
      <c r="E3" s="1464"/>
      <c r="F3" s="1464"/>
      <c r="G3" s="1464"/>
      <c r="H3" s="1464"/>
      <c r="I3" s="1465" t="s">
        <v>637</v>
      </c>
      <c r="J3" s="1465"/>
    </row>
    <row r="4" spans="1:9" ht="15" customHeight="1">
      <c r="A4" s="1459" t="s">
        <v>657</v>
      </c>
      <c r="B4" s="1459"/>
      <c r="C4" s="1467"/>
      <c r="D4" s="1467"/>
      <c r="E4" s="1467"/>
      <c r="F4" s="1467"/>
      <c r="G4" s="1467"/>
      <c r="H4" s="1467"/>
      <c r="I4" s="606" t="s">
        <v>412</v>
      </c>
    </row>
    <row r="5" spans="1:10" ht="15" customHeight="1" thickBot="1">
      <c r="A5" s="1450"/>
      <c r="B5" s="1450"/>
      <c r="C5" s="607"/>
      <c r="D5" s="607"/>
      <c r="E5" s="607"/>
      <c r="F5" s="607"/>
      <c r="G5" s="607"/>
      <c r="H5" s="608"/>
      <c r="I5" s="1451" t="s">
        <v>638</v>
      </c>
      <c r="J5" s="1451"/>
    </row>
    <row r="6" spans="1:10" ht="15.75" customHeight="1" thickTop="1">
      <c r="A6" s="1452" t="s">
        <v>72</v>
      </c>
      <c r="B6" s="1453"/>
      <c r="C6" s="1456" t="s">
        <v>639</v>
      </c>
      <c r="D6" s="1456"/>
      <c r="E6" s="1456"/>
      <c r="F6" s="1456" t="s">
        <v>640</v>
      </c>
      <c r="G6" s="1456"/>
      <c r="H6" s="1456"/>
      <c r="I6" s="1456"/>
      <c r="J6" s="1457" t="s">
        <v>641</v>
      </c>
    </row>
    <row r="7" spans="1:10" ht="15.75" customHeight="1">
      <c r="A7" s="1454"/>
      <c r="B7" s="1455"/>
      <c r="C7" s="1448" t="s">
        <v>227</v>
      </c>
      <c r="D7" s="1448" t="s">
        <v>7</v>
      </c>
      <c r="E7" s="1448"/>
      <c r="F7" s="1448" t="s">
        <v>642</v>
      </c>
      <c r="G7" s="1448"/>
      <c r="H7" s="1448"/>
      <c r="I7" s="1448" t="s">
        <v>643</v>
      </c>
      <c r="J7" s="1458"/>
    </row>
    <row r="8" spans="1:10" ht="15.75" customHeight="1">
      <c r="A8" s="1454"/>
      <c r="B8" s="1455"/>
      <c r="C8" s="1448"/>
      <c r="D8" s="1448" t="s">
        <v>644</v>
      </c>
      <c r="E8" s="1448" t="s">
        <v>645</v>
      </c>
      <c r="F8" s="1448" t="s">
        <v>37</v>
      </c>
      <c r="G8" s="1448" t="s">
        <v>7</v>
      </c>
      <c r="H8" s="1448"/>
      <c r="I8" s="1448"/>
      <c r="J8" s="1458"/>
    </row>
    <row r="9" spans="1:10" ht="43.5" customHeight="1">
      <c r="A9" s="1454"/>
      <c r="B9" s="1455"/>
      <c r="C9" s="1448"/>
      <c r="D9" s="1449"/>
      <c r="E9" s="1448"/>
      <c r="F9" s="1448"/>
      <c r="G9" s="609" t="s">
        <v>646</v>
      </c>
      <c r="H9" s="609" t="s">
        <v>647</v>
      </c>
      <c r="I9" s="1448"/>
      <c r="J9" s="1458"/>
    </row>
    <row r="10" spans="1:10" ht="15.75" customHeight="1">
      <c r="A10" s="1443" t="s">
        <v>648</v>
      </c>
      <c r="B10" s="1444"/>
      <c r="C10" s="610">
        <v>1</v>
      </c>
      <c r="D10" s="610">
        <v>2</v>
      </c>
      <c r="E10" s="610">
        <v>3</v>
      </c>
      <c r="F10" s="610">
        <v>4</v>
      </c>
      <c r="G10" s="610">
        <v>5</v>
      </c>
      <c r="H10" s="610">
        <v>6</v>
      </c>
      <c r="I10" s="610">
        <v>7</v>
      </c>
      <c r="J10" s="611">
        <v>8</v>
      </c>
    </row>
    <row r="11" spans="1:10" s="584" customFormat="1" ht="15.75" customHeight="1">
      <c r="A11" s="1445" t="s">
        <v>649</v>
      </c>
      <c r="B11" s="1446"/>
      <c r="C11" s="728">
        <f>C12+C13</f>
        <v>3</v>
      </c>
      <c r="D11" s="728">
        <f aca="true" t="shared" si="0" ref="D11:J11">D12+D13</f>
        <v>3</v>
      </c>
      <c r="E11" s="728">
        <f t="shared" si="0"/>
        <v>0</v>
      </c>
      <c r="F11" s="728">
        <f t="shared" si="0"/>
        <v>3</v>
      </c>
      <c r="G11" s="728">
        <f t="shared" si="0"/>
        <v>0</v>
      </c>
      <c r="H11" s="728">
        <f t="shared" si="0"/>
        <v>3</v>
      </c>
      <c r="I11" s="728">
        <f t="shared" si="0"/>
        <v>0</v>
      </c>
      <c r="J11" s="728">
        <f t="shared" si="0"/>
        <v>0</v>
      </c>
    </row>
    <row r="12" spans="1:10" s="660" customFormat="1" ht="15.75" customHeight="1">
      <c r="A12" s="720" t="s">
        <v>0</v>
      </c>
      <c r="B12" s="721" t="s">
        <v>758</v>
      </c>
      <c r="C12" s="729">
        <f>D12+E12</f>
        <v>0</v>
      </c>
      <c r="D12" s="729"/>
      <c r="E12" s="729"/>
      <c r="F12" s="729">
        <f>G12+H12</f>
        <v>0</v>
      </c>
      <c r="G12" s="729"/>
      <c r="H12" s="729"/>
      <c r="I12" s="729"/>
      <c r="J12" s="729"/>
    </row>
    <row r="13" spans="1:10" s="660" customFormat="1" ht="15.75" customHeight="1">
      <c r="A13" s="726" t="s">
        <v>1</v>
      </c>
      <c r="B13" s="721" t="s">
        <v>19</v>
      </c>
      <c r="C13" s="729">
        <f>SUM(C14:C28)</f>
        <v>3</v>
      </c>
      <c r="D13" s="729">
        <f aca="true" t="shared" si="1" ref="D13:J13">SUM(D14:D28)</f>
        <v>3</v>
      </c>
      <c r="E13" s="729">
        <f t="shared" si="1"/>
        <v>0</v>
      </c>
      <c r="F13" s="729">
        <f t="shared" si="1"/>
        <v>3</v>
      </c>
      <c r="G13" s="729">
        <f t="shared" si="1"/>
        <v>0</v>
      </c>
      <c r="H13" s="729">
        <f t="shared" si="1"/>
        <v>3</v>
      </c>
      <c r="I13" s="729">
        <f t="shared" si="1"/>
        <v>0</v>
      </c>
      <c r="J13" s="729">
        <f t="shared" si="1"/>
        <v>0</v>
      </c>
    </row>
    <row r="14" spans="1:10" s="660" customFormat="1" ht="15.75" customHeight="1">
      <c r="A14" s="716">
        <v>1</v>
      </c>
      <c r="B14" s="703" t="s">
        <v>759</v>
      </c>
      <c r="C14" s="729">
        <f aca="true" t="shared" si="2" ref="C14:C28">D14+E14</f>
        <v>0</v>
      </c>
      <c r="D14" s="729"/>
      <c r="E14" s="729"/>
      <c r="F14" s="729">
        <f aca="true" t="shared" si="3" ref="F14:F28">G14+H14</f>
        <v>0</v>
      </c>
      <c r="G14" s="729"/>
      <c r="H14" s="729"/>
      <c r="I14" s="729"/>
      <c r="J14" s="729"/>
    </row>
    <row r="15" spans="1:10" s="660" customFormat="1" ht="15.75" customHeight="1">
      <c r="A15" s="716">
        <v>2</v>
      </c>
      <c r="B15" s="703" t="s">
        <v>760</v>
      </c>
      <c r="C15" s="729">
        <f t="shared" si="2"/>
        <v>0</v>
      </c>
      <c r="D15" s="729"/>
      <c r="E15" s="729"/>
      <c r="F15" s="729">
        <f t="shared" si="3"/>
        <v>0</v>
      </c>
      <c r="G15" s="729"/>
      <c r="H15" s="729"/>
      <c r="I15" s="729"/>
      <c r="J15" s="729"/>
    </row>
    <row r="16" spans="1:10" s="660" customFormat="1" ht="15.75" customHeight="1">
      <c r="A16" s="716">
        <v>3</v>
      </c>
      <c r="B16" s="703" t="s">
        <v>761</v>
      </c>
      <c r="C16" s="729">
        <f t="shared" si="2"/>
        <v>0</v>
      </c>
      <c r="D16" s="729"/>
      <c r="E16" s="729"/>
      <c r="F16" s="729">
        <f t="shared" si="3"/>
        <v>0</v>
      </c>
      <c r="G16" s="729"/>
      <c r="H16" s="729"/>
      <c r="I16" s="729"/>
      <c r="J16" s="729"/>
    </row>
    <row r="17" spans="1:10" s="660" customFormat="1" ht="15.75" customHeight="1">
      <c r="A17" s="716">
        <v>4</v>
      </c>
      <c r="B17" s="703" t="s">
        <v>762</v>
      </c>
      <c r="C17" s="729">
        <f t="shared" si="2"/>
        <v>0</v>
      </c>
      <c r="D17" s="729"/>
      <c r="E17" s="729"/>
      <c r="F17" s="729">
        <f t="shared" si="3"/>
        <v>0</v>
      </c>
      <c r="G17" s="729"/>
      <c r="H17" s="729"/>
      <c r="I17" s="729"/>
      <c r="J17" s="729"/>
    </row>
    <row r="18" spans="1:10" s="660" customFormat="1" ht="15.75" customHeight="1">
      <c r="A18" s="716">
        <v>5</v>
      </c>
      <c r="B18" s="703" t="s">
        <v>763</v>
      </c>
      <c r="C18" s="729">
        <f t="shared" si="2"/>
        <v>0</v>
      </c>
      <c r="D18" s="729"/>
      <c r="E18" s="729"/>
      <c r="F18" s="729">
        <f t="shared" si="3"/>
        <v>0</v>
      </c>
      <c r="G18" s="729"/>
      <c r="H18" s="729"/>
      <c r="I18" s="729"/>
      <c r="J18" s="729"/>
    </row>
    <row r="19" spans="1:10" s="660" customFormat="1" ht="15.75" customHeight="1">
      <c r="A19" s="716">
        <v>6</v>
      </c>
      <c r="B19" s="703" t="s">
        <v>764</v>
      </c>
      <c r="C19" s="729">
        <f t="shared" si="2"/>
        <v>3</v>
      </c>
      <c r="D19" s="729">
        <v>3</v>
      </c>
      <c r="E19" s="729"/>
      <c r="F19" s="729">
        <f t="shared" si="3"/>
        <v>3</v>
      </c>
      <c r="G19" s="729"/>
      <c r="H19" s="729">
        <v>3</v>
      </c>
      <c r="I19" s="729"/>
      <c r="J19" s="729"/>
    </row>
    <row r="20" spans="1:10" s="660" customFormat="1" ht="15.75" customHeight="1">
      <c r="A20" s="716">
        <v>7</v>
      </c>
      <c r="B20" s="703" t="s">
        <v>765</v>
      </c>
      <c r="C20" s="729">
        <f t="shared" si="2"/>
        <v>0</v>
      </c>
      <c r="D20" s="729">
        <v>0</v>
      </c>
      <c r="E20" s="729"/>
      <c r="F20" s="729">
        <f t="shared" si="3"/>
        <v>0</v>
      </c>
      <c r="G20" s="729"/>
      <c r="H20" s="729">
        <v>0</v>
      </c>
      <c r="I20" s="729"/>
      <c r="J20" s="729"/>
    </row>
    <row r="21" spans="1:10" s="660" customFormat="1" ht="15.75" customHeight="1">
      <c r="A21" s="716">
        <v>8</v>
      </c>
      <c r="B21" s="703" t="s">
        <v>766</v>
      </c>
      <c r="C21" s="729">
        <f t="shared" si="2"/>
        <v>0</v>
      </c>
      <c r="D21" s="729"/>
      <c r="E21" s="729">
        <v>0</v>
      </c>
      <c r="F21" s="729">
        <f t="shared" si="3"/>
        <v>0</v>
      </c>
      <c r="G21" s="729">
        <v>0</v>
      </c>
      <c r="H21" s="729"/>
      <c r="I21" s="729"/>
      <c r="J21" s="729"/>
    </row>
    <row r="22" spans="1:10" s="660" customFormat="1" ht="15.75" customHeight="1">
      <c r="A22" s="716">
        <v>9</v>
      </c>
      <c r="B22" s="703" t="s">
        <v>767</v>
      </c>
      <c r="C22" s="729">
        <f t="shared" si="2"/>
        <v>0</v>
      </c>
      <c r="D22" s="729"/>
      <c r="E22" s="729"/>
      <c r="F22" s="729">
        <f t="shared" si="3"/>
        <v>0</v>
      </c>
      <c r="G22" s="729"/>
      <c r="H22" s="729"/>
      <c r="I22" s="729"/>
      <c r="J22" s="729"/>
    </row>
    <row r="23" spans="1:10" s="660" customFormat="1" ht="15.75" customHeight="1">
      <c r="A23" s="716">
        <v>10</v>
      </c>
      <c r="B23" s="703" t="s">
        <v>768</v>
      </c>
      <c r="C23" s="729">
        <f t="shared" si="2"/>
        <v>0</v>
      </c>
      <c r="D23" s="729"/>
      <c r="E23" s="729"/>
      <c r="F23" s="729">
        <f t="shared" si="3"/>
        <v>0</v>
      </c>
      <c r="G23" s="729"/>
      <c r="H23" s="729"/>
      <c r="I23" s="729"/>
      <c r="J23" s="729"/>
    </row>
    <row r="24" spans="1:10" s="660" customFormat="1" ht="15.75" customHeight="1">
      <c r="A24" s="716">
        <v>11</v>
      </c>
      <c r="B24" s="703" t="s">
        <v>769</v>
      </c>
      <c r="C24" s="729">
        <f t="shared" si="2"/>
        <v>0</v>
      </c>
      <c r="D24" s="729"/>
      <c r="E24" s="729"/>
      <c r="F24" s="729">
        <f t="shared" si="3"/>
        <v>0</v>
      </c>
      <c r="G24" s="729"/>
      <c r="H24" s="729"/>
      <c r="I24" s="729"/>
      <c r="J24" s="729"/>
    </row>
    <row r="25" spans="1:10" s="660" customFormat="1" ht="15.75" customHeight="1">
      <c r="A25" s="716">
        <v>12</v>
      </c>
      <c r="B25" s="703" t="s">
        <v>770</v>
      </c>
      <c r="C25" s="729">
        <f t="shared" si="2"/>
        <v>0</v>
      </c>
      <c r="D25" s="729"/>
      <c r="E25" s="729"/>
      <c r="F25" s="729">
        <f t="shared" si="3"/>
        <v>0</v>
      </c>
      <c r="G25" s="729"/>
      <c r="H25" s="729"/>
      <c r="I25" s="729"/>
      <c r="J25" s="729"/>
    </row>
    <row r="26" spans="1:10" s="660" customFormat="1" ht="15.75" customHeight="1">
      <c r="A26" s="716">
        <v>13</v>
      </c>
      <c r="B26" s="703" t="s">
        <v>771</v>
      </c>
      <c r="C26" s="729">
        <f t="shared" si="2"/>
        <v>0</v>
      </c>
      <c r="D26" s="729"/>
      <c r="E26" s="729"/>
      <c r="F26" s="729">
        <f t="shared" si="3"/>
        <v>0</v>
      </c>
      <c r="G26" s="729"/>
      <c r="H26" s="729"/>
      <c r="I26" s="729"/>
      <c r="J26" s="729"/>
    </row>
    <row r="27" spans="1:10" s="660" customFormat="1" ht="15.75" customHeight="1">
      <c r="A27" s="716">
        <v>14</v>
      </c>
      <c r="B27" s="703" t="s">
        <v>772</v>
      </c>
      <c r="C27" s="729">
        <f t="shared" si="2"/>
        <v>0</v>
      </c>
      <c r="D27" s="729"/>
      <c r="E27" s="729"/>
      <c r="F27" s="729">
        <f t="shared" si="3"/>
        <v>0</v>
      </c>
      <c r="G27" s="729"/>
      <c r="H27" s="729"/>
      <c r="I27" s="729"/>
      <c r="J27" s="729"/>
    </row>
    <row r="28" spans="1:10" s="660" customFormat="1" ht="15.75" customHeight="1">
      <c r="A28" s="716">
        <v>15</v>
      </c>
      <c r="B28" s="703" t="s">
        <v>773</v>
      </c>
      <c r="C28" s="729">
        <f t="shared" si="2"/>
        <v>0</v>
      </c>
      <c r="D28" s="729"/>
      <c r="E28" s="729"/>
      <c r="F28" s="729">
        <f t="shared" si="3"/>
        <v>0</v>
      </c>
      <c r="G28" s="729"/>
      <c r="H28" s="729"/>
      <c r="I28" s="729"/>
      <c r="J28" s="729"/>
    </row>
    <row r="29" spans="1:10" s="584" customFormat="1" ht="18" customHeight="1">
      <c r="A29" s="612"/>
      <c r="B29" s="623"/>
      <c r="C29" s="624"/>
      <c r="D29" s="624"/>
      <c r="E29" s="624"/>
      <c r="F29" s="624"/>
      <c r="G29" s="625"/>
      <c r="H29" s="626"/>
      <c r="I29" s="626"/>
      <c r="J29" s="627"/>
    </row>
    <row r="30" spans="1:10" ht="18" customHeight="1">
      <c r="A30" s="590"/>
      <c r="B30" s="1406"/>
      <c r="C30" s="1406"/>
      <c r="D30" s="622"/>
      <c r="E30" s="622"/>
      <c r="F30" s="622"/>
      <c r="G30" s="1447" t="str">
        <f>'Thong tin'!B8</f>
        <v>Hải Phòng, ngày 04 tháng 01 năm 2018</v>
      </c>
      <c r="H30" s="1447"/>
      <c r="I30" s="1447"/>
      <c r="J30" s="1447"/>
    </row>
    <row r="31" spans="1:10" ht="18.75" customHeight="1">
      <c r="A31" s="590"/>
      <c r="B31" s="1401" t="s">
        <v>4</v>
      </c>
      <c r="C31" s="1401"/>
      <c r="D31" s="622"/>
      <c r="E31" s="622"/>
      <c r="F31" s="622"/>
      <c r="G31" s="1396" t="str">
        <f>'Thong tin'!B7</f>
        <v>
PHÓ CỤC TRƯỞNG</v>
      </c>
      <c r="H31" s="1396"/>
      <c r="I31" s="1396"/>
      <c r="J31" s="1396"/>
    </row>
    <row r="32" spans="1:10" ht="18.75" customHeight="1">
      <c r="A32" s="590"/>
      <c r="B32" s="596"/>
      <c r="C32" s="596"/>
      <c r="D32" s="622"/>
      <c r="E32" s="622"/>
      <c r="F32" s="622"/>
      <c r="G32" s="597"/>
      <c r="H32" s="597"/>
      <c r="I32" s="597"/>
      <c r="J32" s="597"/>
    </row>
    <row r="33" spans="1:10" ht="18.75" customHeight="1">
      <c r="A33" s="590"/>
      <c r="B33" s="596"/>
      <c r="C33" s="596"/>
      <c r="D33" s="622"/>
      <c r="E33" s="622"/>
      <c r="F33" s="622"/>
      <c r="G33" s="597"/>
      <c r="H33" s="597"/>
      <c r="I33" s="597"/>
      <c r="J33" s="597"/>
    </row>
    <row r="34" spans="1:10" ht="18.75" customHeight="1">
      <c r="A34" s="590"/>
      <c r="B34" s="596"/>
      <c r="C34" s="596"/>
      <c r="D34" s="622"/>
      <c r="E34" s="622"/>
      <c r="F34" s="622"/>
      <c r="G34" s="597"/>
      <c r="H34" s="597"/>
      <c r="I34" s="597"/>
      <c r="J34" s="597"/>
    </row>
    <row r="35" spans="2:10" ht="18.75">
      <c r="B35" s="1442"/>
      <c r="C35" s="1442"/>
      <c r="D35" s="616"/>
      <c r="E35" s="616"/>
      <c r="F35" s="616"/>
      <c r="G35" s="1396"/>
      <c r="H35" s="1396"/>
      <c r="I35" s="1396"/>
      <c r="J35" s="1396"/>
    </row>
    <row r="36" spans="2:10" ht="18.75">
      <c r="B36" s="1426" t="str">
        <f>'Thong tin'!B5</f>
        <v>Trần Thị Minh</v>
      </c>
      <c r="C36" s="1426"/>
      <c r="D36" s="621"/>
      <c r="E36" s="621"/>
      <c r="F36" s="621"/>
      <c r="G36" s="1426" t="str">
        <f>'Thong tin'!B6</f>
        <v>Nguyễn Thị Mai Hoa</v>
      </c>
      <c r="H36" s="1426"/>
      <c r="I36" s="1426"/>
      <c r="J36" s="1426"/>
    </row>
  </sheetData>
  <sheetProtection/>
  <mergeCells count="31">
    <mergeCell ref="A4:B4"/>
    <mergeCell ref="A1:B1"/>
    <mergeCell ref="I1:J1"/>
    <mergeCell ref="C3:H3"/>
    <mergeCell ref="I3:J3"/>
    <mergeCell ref="C1:H2"/>
    <mergeCell ref="C4:H4"/>
    <mergeCell ref="A5:B5"/>
    <mergeCell ref="I5:J5"/>
    <mergeCell ref="A6:B9"/>
    <mergeCell ref="C6:E6"/>
    <mergeCell ref="F6:I6"/>
    <mergeCell ref="J6:J9"/>
    <mergeCell ref="C7:C9"/>
    <mergeCell ref="D7:E7"/>
    <mergeCell ref="F7:H7"/>
    <mergeCell ref="I7:I9"/>
    <mergeCell ref="A10:B10"/>
    <mergeCell ref="A11:B11"/>
    <mergeCell ref="B30:C30"/>
    <mergeCell ref="G30:J30"/>
    <mergeCell ref="D8:D9"/>
    <mergeCell ref="E8:E9"/>
    <mergeCell ref="F8:F9"/>
    <mergeCell ref="G8:H8"/>
    <mergeCell ref="B31:C31"/>
    <mergeCell ref="G31:J31"/>
    <mergeCell ref="B36:C36"/>
    <mergeCell ref="G36:J36"/>
    <mergeCell ref="B35:C35"/>
    <mergeCell ref="G35:J35"/>
  </mergeCells>
  <printOptions horizontalCentered="1"/>
  <pageMargins left="0.5" right="0.42" top="0.22" bottom="0" header="0.16" footer="0.2"/>
  <pageSetup horizontalDpi="1200" verticalDpi="1200" orientation="landscape" paperSize="9" scale="95"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016" t="s">
        <v>28</v>
      </c>
      <c r="B1" s="1016"/>
      <c r="C1" s="107"/>
      <c r="D1" s="1019" t="s">
        <v>459</v>
      </c>
      <c r="E1" s="1019"/>
      <c r="F1" s="1019"/>
      <c r="G1" s="1019"/>
      <c r="H1" s="1019"/>
      <c r="I1" s="1019"/>
      <c r="J1" s="1019"/>
      <c r="K1" s="1019"/>
      <c r="L1" s="1019"/>
      <c r="M1" s="992" t="s">
        <v>400</v>
      </c>
      <c r="N1" s="993"/>
      <c r="O1" s="993"/>
      <c r="P1" s="993"/>
    </row>
    <row r="2" spans="1:16" s="51" customFormat="1" ht="34.5" customHeight="1">
      <c r="A2" s="1018" t="s">
        <v>401</v>
      </c>
      <c r="B2" s="1018"/>
      <c r="C2" s="1018"/>
      <c r="D2" s="1019"/>
      <c r="E2" s="1019"/>
      <c r="F2" s="1019"/>
      <c r="G2" s="1019"/>
      <c r="H2" s="1019"/>
      <c r="I2" s="1019"/>
      <c r="J2" s="1019"/>
      <c r="K2" s="1019"/>
      <c r="L2" s="1019"/>
      <c r="M2" s="994" t="s">
        <v>460</v>
      </c>
      <c r="N2" s="995"/>
      <c r="O2" s="995"/>
      <c r="P2" s="995"/>
    </row>
    <row r="3" spans="1:16" s="51" customFormat="1" ht="19.5" customHeight="1">
      <c r="A3" s="1017" t="s">
        <v>402</v>
      </c>
      <c r="B3" s="1017"/>
      <c r="C3" s="1017"/>
      <c r="D3" s="1019"/>
      <c r="E3" s="1019"/>
      <c r="F3" s="1019"/>
      <c r="G3" s="1019"/>
      <c r="H3" s="1019"/>
      <c r="I3" s="1019"/>
      <c r="J3" s="1019"/>
      <c r="K3" s="1019"/>
      <c r="L3" s="1019"/>
      <c r="M3" s="994" t="s">
        <v>403</v>
      </c>
      <c r="N3" s="995"/>
      <c r="O3" s="995"/>
      <c r="P3" s="995"/>
    </row>
    <row r="4" spans="1:16" s="112" customFormat="1" ht="18.75" customHeight="1">
      <c r="A4" s="108"/>
      <c r="B4" s="108"/>
      <c r="C4" s="109"/>
      <c r="D4" s="953"/>
      <c r="E4" s="953"/>
      <c r="F4" s="953"/>
      <c r="G4" s="953"/>
      <c r="H4" s="953"/>
      <c r="I4" s="953"/>
      <c r="J4" s="953"/>
      <c r="K4" s="953"/>
      <c r="L4" s="953"/>
      <c r="M4" s="110" t="s">
        <v>404</v>
      </c>
      <c r="N4" s="111"/>
      <c r="O4" s="111"/>
      <c r="P4" s="111"/>
    </row>
    <row r="5" spans="1:16" ht="49.5" customHeight="1">
      <c r="A5" s="1005" t="s">
        <v>72</v>
      </c>
      <c r="B5" s="1006"/>
      <c r="C5" s="1011" t="s">
        <v>100</v>
      </c>
      <c r="D5" s="997"/>
      <c r="E5" s="997"/>
      <c r="F5" s="997"/>
      <c r="G5" s="997"/>
      <c r="H5" s="997"/>
      <c r="I5" s="997"/>
      <c r="J5" s="997"/>
      <c r="K5" s="991" t="s">
        <v>99</v>
      </c>
      <c r="L5" s="991"/>
      <c r="M5" s="991"/>
      <c r="N5" s="991"/>
      <c r="O5" s="991"/>
      <c r="P5" s="991"/>
    </row>
    <row r="6" spans="1:16" ht="20.25" customHeight="1">
      <c r="A6" s="1007"/>
      <c r="B6" s="1008"/>
      <c r="C6" s="1011" t="s">
        <v>3</v>
      </c>
      <c r="D6" s="997"/>
      <c r="E6" s="997"/>
      <c r="F6" s="998"/>
      <c r="G6" s="991" t="s">
        <v>10</v>
      </c>
      <c r="H6" s="991"/>
      <c r="I6" s="991"/>
      <c r="J6" s="991"/>
      <c r="K6" s="996" t="s">
        <v>3</v>
      </c>
      <c r="L6" s="996"/>
      <c r="M6" s="996"/>
      <c r="N6" s="990" t="s">
        <v>10</v>
      </c>
      <c r="O6" s="990"/>
      <c r="P6" s="990"/>
    </row>
    <row r="7" spans="1:16" ht="52.5" customHeight="1">
      <c r="A7" s="1007"/>
      <c r="B7" s="1008"/>
      <c r="C7" s="1012" t="s">
        <v>405</v>
      </c>
      <c r="D7" s="997" t="s">
        <v>96</v>
      </c>
      <c r="E7" s="997"/>
      <c r="F7" s="998"/>
      <c r="G7" s="991" t="s">
        <v>406</v>
      </c>
      <c r="H7" s="991" t="s">
        <v>96</v>
      </c>
      <c r="I7" s="991"/>
      <c r="J7" s="991"/>
      <c r="K7" s="991" t="s">
        <v>39</v>
      </c>
      <c r="L7" s="991" t="s">
        <v>97</v>
      </c>
      <c r="M7" s="991"/>
      <c r="N7" s="991" t="s">
        <v>80</v>
      </c>
      <c r="O7" s="991" t="s">
        <v>97</v>
      </c>
      <c r="P7" s="991"/>
    </row>
    <row r="8" spans="1:16" ht="15.75" customHeight="1">
      <c r="A8" s="1007"/>
      <c r="B8" s="1008"/>
      <c r="C8" s="1012"/>
      <c r="D8" s="991" t="s">
        <v>44</v>
      </c>
      <c r="E8" s="991" t="s">
        <v>45</v>
      </c>
      <c r="F8" s="991" t="s">
        <v>48</v>
      </c>
      <c r="G8" s="991"/>
      <c r="H8" s="991" t="s">
        <v>44</v>
      </c>
      <c r="I8" s="991" t="s">
        <v>45</v>
      </c>
      <c r="J8" s="991" t="s">
        <v>48</v>
      </c>
      <c r="K8" s="991"/>
      <c r="L8" s="991" t="s">
        <v>16</v>
      </c>
      <c r="M8" s="991" t="s">
        <v>15</v>
      </c>
      <c r="N8" s="991"/>
      <c r="O8" s="991" t="s">
        <v>16</v>
      </c>
      <c r="P8" s="991" t="s">
        <v>15</v>
      </c>
    </row>
    <row r="9" spans="1:16" ht="44.25" customHeight="1">
      <c r="A9" s="1009"/>
      <c r="B9" s="1010"/>
      <c r="C9" s="1013"/>
      <c r="D9" s="991"/>
      <c r="E9" s="991"/>
      <c r="F9" s="991"/>
      <c r="G9" s="991"/>
      <c r="H9" s="991"/>
      <c r="I9" s="991"/>
      <c r="J9" s="991"/>
      <c r="K9" s="991"/>
      <c r="L9" s="991"/>
      <c r="M9" s="991"/>
      <c r="N9" s="991"/>
      <c r="O9" s="991"/>
      <c r="P9" s="991"/>
    </row>
    <row r="10" spans="1:16" ht="15" customHeight="1">
      <c r="A10" s="1003" t="s">
        <v>6</v>
      </c>
      <c r="B10" s="1004"/>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99" t="s">
        <v>407</v>
      </c>
      <c r="B11" s="1000"/>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014" t="s">
        <v>408</v>
      </c>
      <c r="B12" s="1015"/>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001" t="s">
        <v>41</v>
      </c>
      <c r="B13" s="1002"/>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86" t="s">
        <v>461</v>
      </c>
      <c r="C28" s="987"/>
      <c r="D28" s="987"/>
      <c r="E28" s="987"/>
      <c r="F28" s="132"/>
      <c r="G28" s="132"/>
      <c r="H28" s="132"/>
      <c r="I28" s="132"/>
      <c r="J28" s="132"/>
      <c r="K28" s="981" t="s">
        <v>462</v>
      </c>
      <c r="L28" s="981"/>
      <c r="M28" s="981"/>
      <c r="N28" s="981"/>
      <c r="O28" s="981"/>
      <c r="P28" s="981"/>
      <c r="AG28" s="82" t="s">
        <v>396</v>
      </c>
      <c r="AI28" s="122">
        <f>82/88</f>
        <v>0.9318181818181818</v>
      </c>
    </row>
    <row r="29" spans="2:16" ht="16.5">
      <c r="B29" s="987"/>
      <c r="C29" s="987"/>
      <c r="D29" s="987"/>
      <c r="E29" s="987"/>
      <c r="F29" s="132"/>
      <c r="G29" s="132"/>
      <c r="H29" s="132"/>
      <c r="I29" s="132"/>
      <c r="J29" s="132"/>
      <c r="K29" s="981"/>
      <c r="L29" s="981"/>
      <c r="M29" s="981"/>
      <c r="N29" s="981"/>
      <c r="O29" s="981"/>
      <c r="P29" s="981"/>
    </row>
    <row r="30" spans="2:16" ht="21" customHeight="1">
      <c r="B30" s="987"/>
      <c r="C30" s="987"/>
      <c r="D30" s="987"/>
      <c r="E30" s="987"/>
      <c r="F30" s="132"/>
      <c r="G30" s="132"/>
      <c r="H30" s="132"/>
      <c r="I30" s="132"/>
      <c r="J30" s="132"/>
      <c r="K30" s="981"/>
      <c r="L30" s="981"/>
      <c r="M30" s="981"/>
      <c r="N30" s="981"/>
      <c r="O30" s="981"/>
      <c r="P30" s="981"/>
    </row>
    <row r="32" spans="2:16" ht="16.5" customHeight="1">
      <c r="B32" s="989" t="s">
        <v>399</v>
      </c>
      <c r="C32" s="989"/>
      <c r="D32" s="989"/>
      <c r="E32" s="133"/>
      <c r="F32" s="133"/>
      <c r="G32" s="133"/>
      <c r="H32" s="133"/>
      <c r="I32" s="133"/>
      <c r="J32" s="133"/>
      <c r="K32" s="988" t="s">
        <v>463</v>
      </c>
      <c r="L32" s="988"/>
      <c r="M32" s="988"/>
      <c r="N32" s="988"/>
      <c r="O32" s="988"/>
      <c r="P32" s="988"/>
    </row>
    <row r="33" ht="12.75" customHeight="1"/>
    <row r="34" spans="2:5" ht="15.75">
      <c r="B34" s="134"/>
      <c r="C34" s="134"/>
      <c r="D34" s="134"/>
      <c r="E34" s="134"/>
    </row>
    <row r="35" ht="15.75" hidden="1"/>
    <row r="36" spans="2:16" ht="15.75">
      <c r="B36" s="984" t="s">
        <v>352</v>
      </c>
      <c r="C36" s="984"/>
      <c r="D36" s="984"/>
      <c r="E36" s="984"/>
      <c r="F36" s="135"/>
      <c r="G36" s="135"/>
      <c r="H36" s="135"/>
      <c r="I36" s="135"/>
      <c r="K36" s="985" t="s">
        <v>353</v>
      </c>
      <c r="L36" s="985"/>
      <c r="M36" s="985"/>
      <c r="N36" s="985"/>
      <c r="O36" s="985"/>
      <c r="P36" s="985"/>
    </row>
    <row r="39" ht="15.75">
      <c r="A39" s="137" t="s">
        <v>49</v>
      </c>
    </row>
    <row r="40" spans="1:6" ht="15.75">
      <c r="A40" s="138"/>
      <c r="B40" s="139" t="s">
        <v>59</v>
      </c>
      <c r="C40" s="139"/>
      <c r="D40" s="139"/>
      <c r="E40" s="139"/>
      <c r="F40" s="139"/>
    </row>
    <row r="41" spans="1:14" ht="15.75" customHeight="1">
      <c r="A41" s="140" t="s">
        <v>27</v>
      </c>
      <c r="B41" s="983" t="s">
        <v>63</v>
      </c>
      <c r="C41" s="983"/>
      <c r="D41" s="983"/>
      <c r="E41" s="983"/>
      <c r="F41" s="983"/>
      <c r="G41" s="140"/>
      <c r="H41" s="140"/>
      <c r="I41" s="140"/>
      <c r="J41" s="140"/>
      <c r="K41" s="140"/>
      <c r="L41" s="140"/>
      <c r="M41" s="140"/>
      <c r="N41" s="140"/>
    </row>
    <row r="42" spans="1:14" ht="15" customHeight="1">
      <c r="A42" s="140"/>
      <c r="B42" s="982" t="s">
        <v>66</v>
      </c>
      <c r="C42" s="982"/>
      <c r="D42" s="982"/>
      <c r="E42" s="982"/>
      <c r="F42" s="982"/>
      <c r="G42" s="982"/>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2:B12"/>
    <mergeCell ref="A11:B11"/>
    <mergeCell ref="P8:P9"/>
    <mergeCell ref="O8:O9"/>
    <mergeCell ref="N7:N9"/>
    <mergeCell ref="H8:H9"/>
    <mergeCell ref="L8:L9"/>
    <mergeCell ref="M8:M9"/>
    <mergeCell ref="N6:P6"/>
    <mergeCell ref="O7:P7"/>
    <mergeCell ref="L7:M7"/>
    <mergeCell ref="M1:P1"/>
    <mergeCell ref="M2:P2"/>
    <mergeCell ref="M3:P3"/>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47" t="s">
        <v>117</v>
      </c>
      <c r="B1" s="947"/>
      <c r="C1" s="947"/>
      <c r="D1" s="1040" t="s">
        <v>464</v>
      </c>
      <c r="E1" s="1040"/>
      <c r="F1" s="1040"/>
      <c r="G1" s="1040"/>
      <c r="H1" s="1040"/>
      <c r="I1" s="1040"/>
      <c r="J1" s="1044" t="s">
        <v>465</v>
      </c>
      <c r="K1" s="1045"/>
      <c r="L1" s="1045"/>
    </row>
    <row r="2" spans="1:13" ht="15.75" customHeight="1">
      <c r="A2" s="1046" t="s">
        <v>410</v>
      </c>
      <c r="B2" s="1046"/>
      <c r="C2" s="1046"/>
      <c r="D2" s="1040"/>
      <c r="E2" s="1040"/>
      <c r="F2" s="1040"/>
      <c r="G2" s="1040"/>
      <c r="H2" s="1040"/>
      <c r="I2" s="1040"/>
      <c r="J2" s="1045" t="s">
        <v>411</v>
      </c>
      <c r="K2" s="1045"/>
      <c r="L2" s="1045"/>
      <c r="M2" s="142"/>
    </row>
    <row r="3" spans="1:13" ht="15.75" customHeight="1">
      <c r="A3" s="954" t="s">
        <v>362</v>
      </c>
      <c r="B3" s="954"/>
      <c r="C3" s="954"/>
      <c r="D3" s="1040"/>
      <c r="E3" s="1040"/>
      <c r="F3" s="1040"/>
      <c r="G3" s="1040"/>
      <c r="H3" s="1040"/>
      <c r="I3" s="1040"/>
      <c r="J3" s="1044" t="s">
        <v>466</v>
      </c>
      <c r="K3" s="1044"/>
      <c r="L3" s="1044"/>
      <c r="M3" s="46"/>
    </row>
    <row r="4" spans="1:13" ht="15.75" customHeight="1">
      <c r="A4" s="1043" t="s">
        <v>364</v>
      </c>
      <c r="B4" s="1043"/>
      <c r="C4" s="1043"/>
      <c r="D4" s="1042"/>
      <c r="E4" s="1042"/>
      <c r="F4" s="1042"/>
      <c r="G4" s="1042"/>
      <c r="H4" s="1042"/>
      <c r="I4" s="1042"/>
      <c r="J4" s="1045" t="s">
        <v>412</v>
      </c>
      <c r="K4" s="1045"/>
      <c r="L4" s="1045"/>
      <c r="M4" s="142"/>
    </row>
    <row r="5" spans="1:13" ht="15.75">
      <c r="A5" s="143"/>
      <c r="B5" s="143"/>
      <c r="C5" s="43"/>
      <c r="D5" s="43"/>
      <c r="E5" s="43"/>
      <c r="F5" s="43"/>
      <c r="G5" s="43"/>
      <c r="H5" s="43"/>
      <c r="I5" s="43"/>
      <c r="J5" s="1041" t="s">
        <v>8</v>
      </c>
      <c r="K5" s="1041"/>
      <c r="L5" s="1041"/>
      <c r="M5" s="142"/>
    </row>
    <row r="6" spans="1:14" ht="15.75">
      <c r="A6" s="1030" t="s">
        <v>72</v>
      </c>
      <c r="B6" s="1031"/>
      <c r="C6" s="991" t="s">
        <v>413</v>
      </c>
      <c r="D6" s="1049" t="s">
        <v>414</v>
      </c>
      <c r="E6" s="1049"/>
      <c r="F6" s="1049"/>
      <c r="G6" s="1049"/>
      <c r="H6" s="1049"/>
      <c r="I6" s="1049"/>
      <c r="J6" s="967" t="s">
        <v>115</v>
      </c>
      <c r="K6" s="967"/>
      <c r="L6" s="967"/>
      <c r="M6" s="1047" t="s">
        <v>415</v>
      </c>
      <c r="N6" s="1048" t="s">
        <v>416</v>
      </c>
    </row>
    <row r="7" spans="1:14" ht="15.75" customHeight="1">
      <c r="A7" s="1032"/>
      <c r="B7" s="1033"/>
      <c r="C7" s="991"/>
      <c r="D7" s="1049" t="s">
        <v>7</v>
      </c>
      <c r="E7" s="1049"/>
      <c r="F7" s="1049"/>
      <c r="G7" s="1049"/>
      <c r="H7" s="1049"/>
      <c r="I7" s="1049"/>
      <c r="J7" s="967"/>
      <c r="K7" s="967"/>
      <c r="L7" s="967"/>
      <c r="M7" s="1047"/>
      <c r="N7" s="1048"/>
    </row>
    <row r="8" spans="1:14" s="82" customFormat="1" ht="31.5" customHeight="1">
      <c r="A8" s="1032"/>
      <c r="B8" s="1033"/>
      <c r="C8" s="991"/>
      <c r="D8" s="967" t="s">
        <v>113</v>
      </c>
      <c r="E8" s="967" t="s">
        <v>114</v>
      </c>
      <c r="F8" s="967"/>
      <c r="G8" s="967"/>
      <c r="H8" s="967"/>
      <c r="I8" s="967"/>
      <c r="J8" s="967"/>
      <c r="K8" s="967"/>
      <c r="L8" s="967"/>
      <c r="M8" s="1047"/>
      <c r="N8" s="1048"/>
    </row>
    <row r="9" spans="1:14" s="82" customFormat="1" ht="15.75" customHeight="1">
      <c r="A9" s="1032"/>
      <c r="B9" s="1033"/>
      <c r="C9" s="991"/>
      <c r="D9" s="967"/>
      <c r="E9" s="967" t="s">
        <v>116</v>
      </c>
      <c r="F9" s="967" t="s">
        <v>7</v>
      </c>
      <c r="G9" s="967"/>
      <c r="H9" s="967"/>
      <c r="I9" s="967"/>
      <c r="J9" s="967" t="s">
        <v>7</v>
      </c>
      <c r="K9" s="967"/>
      <c r="L9" s="967"/>
      <c r="M9" s="1047"/>
      <c r="N9" s="1048"/>
    </row>
    <row r="10" spans="1:14" s="82" customFormat="1" ht="86.25" customHeight="1">
      <c r="A10" s="1034"/>
      <c r="B10" s="1035"/>
      <c r="C10" s="991"/>
      <c r="D10" s="967"/>
      <c r="E10" s="967"/>
      <c r="F10" s="113" t="s">
        <v>24</v>
      </c>
      <c r="G10" s="113" t="s">
        <v>26</v>
      </c>
      <c r="H10" s="113" t="s">
        <v>18</v>
      </c>
      <c r="I10" s="113" t="s">
        <v>25</v>
      </c>
      <c r="J10" s="113" t="s">
        <v>17</v>
      </c>
      <c r="K10" s="113" t="s">
        <v>22</v>
      </c>
      <c r="L10" s="113" t="s">
        <v>23</v>
      </c>
      <c r="M10" s="1047"/>
      <c r="N10" s="1048"/>
    </row>
    <row r="11" spans="1:32" ht="13.5" customHeight="1">
      <c r="A11" s="1024" t="s">
        <v>5</v>
      </c>
      <c r="B11" s="1025"/>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038" t="s">
        <v>407</v>
      </c>
      <c r="B12" s="1039"/>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036" t="s">
        <v>363</v>
      </c>
      <c r="B13" s="1037"/>
      <c r="C13" s="148">
        <v>59</v>
      </c>
      <c r="D13" s="148">
        <v>43</v>
      </c>
      <c r="E13" s="148">
        <v>0</v>
      </c>
      <c r="F13" s="148">
        <v>5</v>
      </c>
      <c r="G13" s="148">
        <v>2</v>
      </c>
      <c r="H13" s="148">
        <v>7</v>
      </c>
      <c r="I13" s="148">
        <v>2</v>
      </c>
      <c r="J13" s="148">
        <v>10</v>
      </c>
      <c r="K13" s="148">
        <v>44</v>
      </c>
      <c r="L13" s="148">
        <v>5</v>
      </c>
      <c r="M13" s="145"/>
      <c r="N13" s="146"/>
    </row>
    <row r="14" spans="1:37" s="61" customFormat="1" ht="16.5" customHeight="1">
      <c r="A14" s="1022" t="s">
        <v>37</v>
      </c>
      <c r="B14" s="1023"/>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980" t="s">
        <v>467</v>
      </c>
      <c r="B29" s="1026"/>
      <c r="C29" s="1026"/>
      <c r="D29" s="1026"/>
      <c r="E29" s="167"/>
      <c r="F29" s="167"/>
      <c r="G29" s="167"/>
      <c r="H29" s="1028" t="s">
        <v>417</v>
      </c>
      <c r="I29" s="1028"/>
      <c r="J29" s="1028"/>
      <c r="K29" s="1028"/>
      <c r="L29" s="1028"/>
      <c r="M29" s="168"/>
    </row>
    <row r="30" spans="1:12" ht="18.75">
      <c r="A30" s="1026"/>
      <c r="B30" s="1026"/>
      <c r="C30" s="1026"/>
      <c r="D30" s="1026"/>
      <c r="E30" s="167"/>
      <c r="F30" s="167"/>
      <c r="G30" s="167"/>
      <c r="H30" s="1029" t="s">
        <v>418</v>
      </c>
      <c r="I30" s="1029"/>
      <c r="J30" s="1029"/>
      <c r="K30" s="1029"/>
      <c r="L30" s="1029"/>
    </row>
    <row r="31" spans="1:12" s="41" customFormat="1" ht="16.5" customHeight="1">
      <c r="A31" s="975"/>
      <c r="B31" s="975"/>
      <c r="C31" s="975"/>
      <c r="D31" s="975"/>
      <c r="E31" s="169"/>
      <c r="F31" s="169"/>
      <c r="G31" s="169"/>
      <c r="H31" s="976"/>
      <c r="I31" s="976"/>
      <c r="J31" s="976"/>
      <c r="K31" s="976"/>
      <c r="L31" s="976"/>
    </row>
    <row r="32" spans="1:12" ht="18.75">
      <c r="A32" s="98"/>
      <c r="B32" s="975" t="s">
        <v>399</v>
      </c>
      <c r="C32" s="975"/>
      <c r="D32" s="975"/>
      <c r="E32" s="169"/>
      <c r="F32" s="169"/>
      <c r="G32" s="169"/>
      <c r="H32" s="169"/>
      <c r="I32" s="1027" t="s">
        <v>399</v>
      </c>
      <c r="J32" s="1027"/>
      <c r="K32" s="1027"/>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939" t="s">
        <v>352</v>
      </c>
      <c r="B37" s="939"/>
      <c r="C37" s="939"/>
      <c r="D37" s="939"/>
      <c r="E37" s="100"/>
      <c r="F37" s="100"/>
      <c r="G37" s="100"/>
      <c r="H37" s="940" t="s">
        <v>352</v>
      </c>
      <c r="I37" s="940"/>
      <c r="J37" s="940"/>
      <c r="K37" s="940"/>
      <c r="L37" s="940"/>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021" t="s">
        <v>59</v>
      </c>
      <c r="C40" s="1021"/>
      <c r="D40" s="1021"/>
      <c r="E40" s="1021"/>
      <c r="F40" s="1021"/>
      <c r="G40" s="1021"/>
      <c r="H40" s="1021"/>
      <c r="I40" s="1021"/>
      <c r="J40" s="1021"/>
      <c r="K40" s="1021"/>
      <c r="L40" s="1021"/>
    </row>
    <row r="41" spans="1:12" ht="16.5" customHeight="1">
      <c r="A41" s="174"/>
      <c r="B41" s="1020" t="s">
        <v>61</v>
      </c>
      <c r="C41" s="1020"/>
      <c r="D41" s="1020"/>
      <c r="E41" s="1020"/>
      <c r="F41" s="1020"/>
      <c r="G41" s="1020"/>
      <c r="H41" s="1020"/>
      <c r="I41" s="1020"/>
      <c r="J41" s="1020"/>
      <c r="K41" s="1020"/>
      <c r="L41" s="1020"/>
    </row>
    <row r="42" ht="15.75">
      <c r="B42" s="47" t="s">
        <v>60</v>
      </c>
    </row>
  </sheetData>
  <sheetProtection/>
  <mergeCells count="38">
    <mergeCell ref="A1:C1"/>
    <mergeCell ref="M6:M10"/>
    <mergeCell ref="N6:N10"/>
    <mergeCell ref="C6:C10"/>
    <mergeCell ref="E9:E10"/>
    <mergeCell ref="D6:I6"/>
    <mergeCell ref="E8:I8"/>
    <mergeCell ref="D8:D10"/>
    <mergeCell ref="F9:I9"/>
    <mergeCell ref="D7:I7"/>
    <mergeCell ref="A3:C3"/>
    <mergeCell ref="D1:I3"/>
    <mergeCell ref="J5:L5"/>
    <mergeCell ref="D4:I4"/>
    <mergeCell ref="A4:C4"/>
    <mergeCell ref="J1:L1"/>
    <mergeCell ref="J2:L2"/>
    <mergeCell ref="J3:L3"/>
    <mergeCell ref="J4:L4"/>
    <mergeCell ref="A2:C2"/>
    <mergeCell ref="H29:L29"/>
    <mergeCell ref="H30:L30"/>
    <mergeCell ref="H31:L31"/>
    <mergeCell ref="A6:B10"/>
    <mergeCell ref="A13:B13"/>
    <mergeCell ref="A12:B12"/>
    <mergeCell ref="J9:L9"/>
    <mergeCell ref="J6:L8"/>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84" t="s">
        <v>229</v>
      </c>
      <c r="B1" s="1084"/>
      <c r="C1" s="1084"/>
      <c r="D1" s="1080" t="s">
        <v>421</v>
      </c>
      <c r="E1" s="1081"/>
      <c r="F1" s="1081"/>
      <c r="G1" s="1081"/>
      <c r="H1" s="1081"/>
      <c r="I1" s="1081"/>
      <c r="J1" s="1081"/>
      <c r="K1" s="1081"/>
      <c r="L1" s="1081"/>
      <c r="M1" s="1081"/>
      <c r="N1" s="1081"/>
      <c r="O1" s="221"/>
      <c r="P1" s="178" t="s">
        <v>471</v>
      </c>
      <c r="Q1" s="177"/>
      <c r="R1" s="177"/>
      <c r="S1" s="177"/>
      <c r="T1" s="177"/>
      <c r="U1" s="221"/>
    </row>
    <row r="2" spans="1:21" ht="16.5" customHeight="1">
      <c r="A2" s="1082" t="s">
        <v>422</v>
      </c>
      <c r="B2" s="1082"/>
      <c r="C2" s="1082"/>
      <c r="D2" s="1081"/>
      <c r="E2" s="1081"/>
      <c r="F2" s="1081"/>
      <c r="G2" s="1081"/>
      <c r="H2" s="1081"/>
      <c r="I2" s="1081"/>
      <c r="J2" s="1081"/>
      <c r="K2" s="1081"/>
      <c r="L2" s="1081"/>
      <c r="M2" s="1081"/>
      <c r="N2" s="1081"/>
      <c r="O2" s="222"/>
      <c r="P2" s="1073" t="s">
        <v>423</v>
      </c>
      <c r="Q2" s="1073"/>
      <c r="R2" s="1073"/>
      <c r="S2" s="1073"/>
      <c r="T2" s="1073"/>
      <c r="U2" s="222"/>
    </row>
    <row r="3" spans="1:21" ht="16.5" customHeight="1">
      <c r="A3" s="1053" t="s">
        <v>424</v>
      </c>
      <c r="B3" s="1053"/>
      <c r="C3" s="1053"/>
      <c r="D3" s="1085" t="s">
        <v>425</v>
      </c>
      <c r="E3" s="1085"/>
      <c r="F3" s="1085"/>
      <c r="G3" s="1085"/>
      <c r="H3" s="1085"/>
      <c r="I3" s="1085"/>
      <c r="J3" s="1085"/>
      <c r="K3" s="1085"/>
      <c r="L3" s="1085"/>
      <c r="M3" s="1085"/>
      <c r="N3" s="1085"/>
      <c r="O3" s="222"/>
      <c r="P3" s="182" t="s">
        <v>470</v>
      </c>
      <c r="Q3" s="222"/>
      <c r="R3" s="222"/>
      <c r="S3" s="222"/>
      <c r="T3" s="222"/>
      <c r="U3" s="222"/>
    </row>
    <row r="4" spans="1:21" ht="16.5" customHeight="1">
      <c r="A4" s="1086" t="s">
        <v>364</v>
      </c>
      <c r="B4" s="1086"/>
      <c r="C4" s="1086"/>
      <c r="D4" s="1062"/>
      <c r="E4" s="1062"/>
      <c r="F4" s="1062"/>
      <c r="G4" s="1062"/>
      <c r="H4" s="1062"/>
      <c r="I4" s="1062"/>
      <c r="J4" s="1062"/>
      <c r="K4" s="1062"/>
      <c r="L4" s="1062"/>
      <c r="M4" s="1062"/>
      <c r="N4" s="1062"/>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074" t="s">
        <v>72</v>
      </c>
      <c r="B6" s="1075"/>
      <c r="C6" s="1058" t="s">
        <v>230</v>
      </c>
      <c r="D6" s="1083" t="s">
        <v>231</v>
      </c>
      <c r="E6" s="1057"/>
      <c r="F6" s="1057"/>
      <c r="G6" s="1057"/>
      <c r="H6" s="1057"/>
      <c r="I6" s="1057"/>
      <c r="J6" s="1057"/>
      <c r="K6" s="1057"/>
      <c r="L6" s="1057"/>
      <c r="M6" s="1057"/>
      <c r="N6" s="1057"/>
      <c r="O6" s="1057"/>
      <c r="P6" s="1057"/>
      <c r="Q6" s="1057"/>
      <c r="R6" s="1057"/>
      <c r="S6" s="1057"/>
      <c r="T6" s="1058" t="s">
        <v>232</v>
      </c>
      <c r="U6" s="225"/>
    </row>
    <row r="7" spans="1:20" s="227" customFormat="1" ht="12.75" customHeight="1">
      <c r="A7" s="1076"/>
      <c r="B7" s="1077"/>
      <c r="C7" s="1058"/>
      <c r="D7" s="1059" t="s">
        <v>227</v>
      </c>
      <c r="E7" s="1057" t="s">
        <v>7</v>
      </c>
      <c r="F7" s="1057"/>
      <c r="G7" s="1057"/>
      <c r="H7" s="1057"/>
      <c r="I7" s="1057"/>
      <c r="J7" s="1057"/>
      <c r="K7" s="1057"/>
      <c r="L7" s="1057"/>
      <c r="M7" s="1057"/>
      <c r="N7" s="1057"/>
      <c r="O7" s="1057"/>
      <c r="P7" s="1057"/>
      <c r="Q7" s="1057"/>
      <c r="R7" s="1057"/>
      <c r="S7" s="1057"/>
      <c r="T7" s="1058"/>
    </row>
    <row r="8" spans="1:21" s="227" customFormat="1" ht="43.5" customHeight="1">
      <c r="A8" s="1076"/>
      <c r="B8" s="1077"/>
      <c r="C8" s="1058"/>
      <c r="D8" s="1060"/>
      <c r="E8" s="1090" t="s">
        <v>233</v>
      </c>
      <c r="F8" s="1058"/>
      <c r="G8" s="1058"/>
      <c r="H8" s="1058" t="s">
        <v>234</v>
      </c>
      <c r="I8" s="1058"/>
      <c r="J8" s="1058"/>
      <c r="K8" s="1058" t="s">
        <v>235</v>
      </c>
      <c r="L8" s="1058"/>
      <c r="M8" s="1058" t="s">
        <v>236</v>
      </c>
      <c r="N8" s="1058"/>
      <c r="O8" s="1058"/>
      <c r="P8" s="1058" t="s">
        <v>237</v>
      </c>
      <c r="Q8" s="1058" t="s">
        <v>238</v>
      </c>
      <c r="R8" s="1058" t="s">
        <v>239</v>
      </c>
      <c r="S8" s="1087" t="s">
        <v>240</v>
      </c>
      <c r="T8" s="1058"/>
      <c r="U8" s="1050" t="s">
        <v>427</v>
      </c>
    </row>
    <row r="9" spans="1:21" s="227" customFormat="1" ht="44.25" customHeight="1">
      <c r="A9" s="1078"/>
      <c r="B9" s="1079"/>
      <c r="C9" s="1058"/>
      <c r="D9" s="1061"/>
      <c r="E9" s="228" t="s">
        <v>241</v>
      </c>
      <c r="F9" s="224" t="s">
        <v>242</v>
      </c>
      <c r="G9" s="224" t="s">
        <v>428</v>
      </c>
      <c r="H9" s="224" t="s">
        <v>243</v>
      </c>
      <c r="I9" s="224" t="s">
        <v>244</v>
      </c>
      <c r="J9" s="224" t="s">
        <v>245</v>
      </c>
      <c r="K9" s="224" t="s">
        <v>242</v>
      </c>
      <c r="L9" s="224" t="s">
        <v>246</v>
      </c>
      <c r="M9" s="224" t="s">
        <v>247</v>
      </c>
      <c r="N9" s="224" t="s">
        <v>248</v>
      </c>
      <c r="O9" s="224" t="s">
        <v>429</v>
      </c>
      <c r="P9" s="1058"/>
      <c r="Q9" s="1058"/>
      <c r="R9" s="1058"/>
      <c r="S9" s="1087"/>
      <c r="T9" s="1058"/>
      <c r="U9" s="1051"/>
    </row>
    <row r="10" spans="1:21" s="231" customFormat="1" ht="15.75" customHeight="1">
      <c r="A10" s="1054" t="s">
        <v>6</v>
      </c>
      <c r="B10" s="105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051"/>
    </row>
    <row r="11" spans="1:21" s="231" customFormat="1" ht="15.75" customHeight="1">
      <c r="A11" s="1088" t="s">
        <v>407</v>
      </c>
      <c r="B11" s="1089"/>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052"/>
    </row>
    <row r="12" spans="1:21" s="231" customFormat="1" ht="15.75" customHeight="1">
      <c r="A12" s="1064" t="s">
        <v>408</v>
      </c>
      <c r="B12" s="1065"/>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70" t="s">
        <v>37</v>
      </c>
      <c r="B13" s="1071"/>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056" t="s">
        <v>395</v>
      </c>
      <c r="C28" s="1056"/>
      <c r="D28" s="1056"/>
      <c r="E28" s="1056"/>
      <c r="F28" s="190"/>
      <c r="G28" s="190"/>
      <c r="H28" s="190"/>
      <c r="I28" s="190"/>
      <c r="J28" s="190"/>
      <c r="K28" s="190" t="s">
        <v>249</v>
      </c>
      <c r="L28" s="191"/>
      <c r="M28" s="1063" t="s">
        <v>430</v>
      </c>
      <c r="N28" s="1063"/>
      <c r="O28" s="1063"/>
      <c r="P28" s="1063"/>
      <c r="Q28" s="1063"/>
      <c r="R28" s="1063"/>
      <c r="S28" s="1063"/>
      <c r="T28" s="1063"/>
    </row>
    <row r="29" spans="1:20" s="242" customFormat="1" ht="18.75" customHeight="1">
      <c r="A29" s="241"/>
      <c r="B29" s="1069" t="s">
        <v>250</v>
      </c>
      <c r="C29" s="1069"/>
      <c r="D29" s="1069"/>
      <c r="E29" s="243"/>
      <c r="F29" s="192"/>
      <c r="G29" s="192"/>
      <c r="H29" s="192"/>
      <c r="I29" s="192"/>
      <c r="J29" s="192"/>
      <c r="K29" s="192"/>
      <c r="L29" s="191"/>
      <c r="M29" s="1072" t="s">
        <v>419</v>
      </c>
      <c r="N29" s="1072"/>
      <c r="O29" s="1072"/>
      <c r="P29" s="1072"/>
      <c r="Q29" s="1072"/>
      <c r="R29" s="1072"/>
      <c r="S29" s="1072"/>
      <c r="T29" s="1072"/>
    </row>
    <row r="30" spans="1:20" s="242" customFormat="1" ht="18.75">
      <c r="A30" s="193"/>
      <c r="B30" s="1066"/>
      <c r="C30" s="1066"/>
      <c r="D30" s="1066"/>
      <c r="E30" s="195"/>
      <c r="F30" s="195"/>
      <c r="G30" s="195"/>
      <c r="H30" s="195"/>
      <c r="I30" s="195"/>
      <c r="J30" s="195"/>
      <c r="K30" s="195"/>
      <c r="L30" s="195"/>
      <c r="M30" s="1067"/>
      <c r="N30" s="1067"/>
      <c r="O30" s="1067"/>
      <c r="P30" s="1067"/>
      <c r="Q30" s="1067"/>
      <c r="R30" s="1067"/>
      <c r="S30" s="1067"/>
      <c r="T30" s="1067"/>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068" t="s">
        <v>399</v>
      </c>
      <c r="C36" s="1068"/>
      <c r="D36" s="1068"/>
      <c r="E36" s="245"/>
      <c r="F36" s="245"/>
      <c r="G36" s="245"/>
      <c r="H36" s="245"/>
      <c r="I36" s="245"/>
      <c r="J36" s="245"/>
      <c r="K36" s="245"/>
      <c r="L36" s="245"/>
      <c r="M36" s="245"/>
      <c r="N36" s="1068" t="s">
        <v>399</v>
      </c>
      <c r="O36" s="1068"/>
      <c r="P36" s="1068"/>
      <c r="Q36" s="1068"/>
      <c r="R36" s="1068"/>
      <c r="S36" s="1068"/>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939" t="s">
        <v>352</v>
      </c>
      <c r="C38" s="939"/>
      <c r="D38" s="939"/>
      <c r="E38" s="219"/>
      <c r="F38" s="219"/>
      <c r="G38" s="219"/>
      <c r="H38" s="219"/>
      <c r="I38" s="191"/>
      <c r="J38" s="191"/>
      <c r="K38" s="191"/>
      <c r="L38" s="191"/>
      <c r="M38" s="940" t="s">
        <v>353</v>
      </c>
      <c r="N38" s="940"/>
      <c r="O38" s="940"/>
      <c r="P38" s="940"/>
      <c r="Q38" s="940"/>
      <c r="R38" s="940"/>
      <c r="S38" s="940"/>
      <c r="T38" s="940"/>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124" t="s">
        <v>255</v>
      </c>
      <c r="B1" s="1124"/>
      <c r="C1" s="1124"/>
      <c r="D1" s="247"/>
      <c r="E1" s="1129" t="s">
        <v>256</v>
      </c>
      <c r="F1" s="1129"/>
      <c r="G1" s="1129"/>
      <c r="H1" s="1129"/>
      <c r="I1" s="1129"/>
      <c r="J1" s="1129"/>
      <c r="K1" s="1129"/>
      <c r="L1" s="1129"/>
      <c r="M1" s="1129"/>
      <c r="N1" s="1129"/>
      <c r="O1" s="200"/>
      <c r="P1" s="1131" t="s">
        <v>469</v>
      </c>
      <c r="Q1" s="1131"/>
      <c r="R1" s="1131"/>
      <c r="S1" s="1131"/>
      <c r="T1" s="1131"/>
    </row>
    <row r="2" spans="1:20" ht="15.75" customHeight="1">
      <c r="A2" s="1125" t="s">
        <v>431</v>
      </c>
      <c r="B2" s="1125"/>
      <c r="C2" s="1125"/>
      <c r="D2" s="1125"/>
      <c r="E2" s="1127" t="s">
        <v>257</v>
      </c>
      <c r="F2" s="1127"/>
      <c r="G2" s="1127"/>
      <c r="H2" s="1127"/>
      <c r="I2" s="1127"/>
      <c r="J2" s="1127"/>
      <c r="K2" s="1127"/>
      <c r="L2" s="1127"/>
      <c r="M2" s="1127"/>
      <c r="N2" s="1127"/>
      <c r="O2" s="203"/>
      <c r="P2" s="1132" t="s">
        <v>411</v>
      </c>
      <c r="Q2" s="1132"/>
      <c r="R2" s="1132"/>
      <c r="S2" s="1132"/>
      <c r="T2" s="1132"/>
    </row>
    <row r="3" spans="1:20" ht="17.25">
      <c r="A3" s="1125" t="s">
        <v>362</v>
      </c>
      <c r="B3" s="1125"/>
      <c r="C3" s="1125"/>
      <c r="D3" s="248"/>
      <c r="E3" s="1130" t="s">
        <v>363</v>
      </c>
      <c r="F3" s="1130"/>
      <c r="G3" s="1130"/>
      <c r="H3" s="1130"/>
      <c r="I3" s="1130"/>
      <c r="J3" s="1130"/>
      <c r="K3" s="1130"/>
      <c r="L3" s="1130"/>
      <c r="M3" s="1130"/>
      <c r="N3" s="1130"/>
      <c r="O3" s="203"/>
      <c r="P3" s="1133" t="s">
        <v>470</v>
      </c>
      <c r="Q3" s="1133"/>
      <c r="R3" s="1133"/>
      <c r="S3" s="1133"/>
      <c r="T3" s="1133"/>
    </row>
    <row r="4" spans="1:20" ht="18.75" customHeight="1">
      <c r="A4" s="1126" t="s">
        <v>364</v>
      </c>
      <c r="B4" s="1126"/>
      <c r="C4" s="1126"/>
      <c r="D4" s="1128"/>
      <c r="E4" s="1128"/>
      <c r="F4" s="1128"/>
      <c r="G4" s="1128"/>
      <c r="H4" s="1128"/>
      <c r="I4" s="1128"/>
      <c r="J4" s="1128"/>
      <c r="K4" s="1128"/>
      <c r="L4" s="1128"/>
      <c r="M4" s="1128"/>
      <c r="N4" s="1128"/>
      <c r="O4" s="204"/>
      <c r="P4" s="1132" t="s">
        <v>403</v>
      </c>
      <c r="Q4" s="1133"/>
      <c r="R4" s="1133"/>
      <c r="S4" s="1133"/>
      <c r="T4" s="1133"/>
    </row>
    <row r="5" spans="1:23" ht="15">
      <c r="A5" s="217"/>
      <c r="B5" s="217"/>
      <c r="C5" s="249"/>
      <c r="D5" s="249"/>
      <c r="E5" s="217"/>
      <c r="F5" s="217"/>
      <c r="G5" s="217"/>
      <c r="H5" s="217"/>
      <c r="I5" s="217"/>
      <c r="J5" s="217"/>
      <c r="K5" s="217"/>
      <c r="L5" s="217"/>
      <c r="P5" s="1105" t="s">
        <v>426</v>
      </c>
      <c r="Q5" s="1105"/>
      <c r="R5" s="1105"/>
      <c r="S5" s="1105"/>
      <c r="T5" s="1105"/>
      <c r="U5" s="250"/>
      <c r="V5" s="250"/>
      <c r="W5" s="250"/>
    </row>
    <row r="6" spans="1:23" ht="29.25" customHeight="1">
      <c r="A6" s="1074" t="s">
        <v>72</v>
      </c>
      <c r="B6" s="1097"/>
      <c r="C6" s="1091" t="s">
        <v>2</v>
      </c>
      <c r="D6" s="1106" t="s">
        <v>258</v>
      </c>
      <c r="E6" s="1101"/>
      <c r="F6" s="1101"/>
      <c r="G6" s="1101"/>
      <c r="H6" s="1101"/>
      <c r="I6" s="1101"/>
      <c r="J6" s="1102"/>
      <c r="K6" s="1111" t="s">
        <v>259</v>
      </c>
      <c r="L6" s="1112"/>
      <c r="M6" s="1112"/>
      <c r="N6" s="1112"/>
      <c r="O6" s="1112"/>
      <c r="P6" s="1112"/>
      <c r="Q6" s="1112"/>
      <c r="R6" s="1112"/>
      <c r="S6" s="1112"/>
      <c r="T6" s="1113"/>
      <c r="U6" s="251"/>
      <c r="V6" s="252"/>
      <c r="W6" s="252"/>
    </row>
    <row r="7" spans="1:20" ht="19.5" customHeight="1">
      <c r="A7" s="1076"/>
      <c r="B7" s="1098"/>
      <c r="C7" s="1092"/>
      <c r="D7" s="1101" t="s">
        <v>7</v>
      </c>
      <c r="E7" s="1101"/>
      <c r="F7" s="1101"/>
      <c r="G7" s="1101"/>
      <c r="H7" s="1101"/>
      <c r="I7" s="1101"/>
      <c r="J7" s="1102"/>
      <c r="K7" s="1114"/>
      <c r="L7" s="1115"/>
      <c r="M7" s="1115"/>
      <c r="N7" s="1115"/>
      <c r="O7" s="1115"/>
      <c r="P7" s="1115"/>
      <c r="Q7" s="1115"/>
      <c r="R7" s="1115"/>
      <c r="S7" s="1115"/>
      <c r="T7" s="1116"/>
    </row>
    <row r="8" spans="1:20" ht="33" customHeight="1">
      <c r="A8" s="1076"/>
      <c r="B8" s="1098"/>
      <c r="C8" s="1092"/>
      <c r="D8" s="1100" t="s">
        <v>260</v>
      </c>
      <c r="E8" s="1103"/>
      <c r="F8" s="1094" t="s">
        <v>261</v>
      </c>
      <c r="G8" s="1103"/>
      <c r="H8" s="1094" t="s">
        <v>262</v>
      </c>
      <c r="I8" s="1103"/>
      <c r="J8" s="1094" t="s">
        <v>263</v>
      </c>
      <c r="K8" s="1109" t="s">
        <v>264</v>
      </c>
      <c r="L8" s="1109"/>
      <c r="M8" s="1109"/>
      <c r="N8" s="1109" t="s">
        <v>265</v>
      </c>
      <c r="O8" s="1109"/>
      <c r="P8" s="1109"/>
      <c r="Q8" s="1094" t="s">
        <v>266</v>
      </c>
      <c r="R8" s="1110" t="s">
        <v>267</v>
      </c>
      <c r="S8" s="1110" t="s">
        <v>268</v>
      </c>
      <c r="T8" s="1094" t="s">
        <v>269</v>
      </c>
    </row>
    <row r="9" spans="1:20" ht="18.75" customHeight="1">
      <c r="A9" s="1076"/>
      <c r="B9" s="1098"/>
      <c r="C9" s="1092"/>
      <c r="D9" s="1100" t="s">
        <v>270</v>
      </c>
      <c r="E9" s="1094" t="s">
        <v>271</v>
      </c>
      <c r="F9" s="1094" t="s">
        <v>270</v>
      </c>
      <c r="G9" s="1094" t="s">
        <v>271</v>
      </c>
      <c r="H9" s="1094" t="s">
        <v>270</v>
      </c>
      <c r="I9" s="1094" t="s">
        <v>272</v>
      </c>
      <c r="J9" s="1094"/>
      <c r="K9" s="1109"/>
      <c r="L9" s="1109"/>
      <c r="M9" s="1109"/>
      <c r="N9" s="1109"/>
      <c r="O9" s="1109"/>
      <c r="P9" s="1109"/>
      <c r="Q9" s="1094"/>
      <c r="R9" s="1110"/>
      <c r="S9" s="1110"/>
      <c r="T9" s="1094"/>
    </row>
    <row r="10" spans="1:20" ht="23.25" customHeight="1">
      <c r="A10" s="1078"/>
      <c r="B10" s="1099"/>
      <c r="C10" s="1093"/>
      <c r="D10" s="1100"/>
      <c r="E10" s="1094"/>
      <c r="F10" s="1094"/>
      <c r="G10" s="1094"/>
      <c r="H10" s="1094"/>
      <c r="I10" s="1094"/>
      <c r="J10" s="1094"/>
      <c r="K10" s="253" t="s">
        <v>273</v>
      </c>
      <c r="L10" s="253" t="s">
        <v>248</v>
      </c>
      <c r="M10" s="253" t="s">
        <v>274</v>
      </c>
      <c r="N10" s="253" t="s">
        <v>273</v>
      </c>
      <c r="O10" s="253" t="s">
        <v>275</v>
      </c>
      <c r="P10" s="253" t="s">
        <v>276</v>
      </c>
      <c r="Q10" s="1094"/>
      <c r="R10" s="1110"/>
      <c r="S10" s="1110"/>
      <c r="T10" s="1094"/>
    </row>
    <row r="11" spans="1:32" s="210" customFormat="1" ht="17.25" customHeight="1">
      <c r="A11" s="1095" t="s">
        <v>6</v>
      </c>
      <c r="B11" s="1096"/>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107" t="s">
        <v>432</v>
      </c>
      <c r="B12" s="1108"/>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117" t="s">
        <v>408</v>
      </c>
      <c r="B13" s="1118"/>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104" t="s">
        <v>277</v>
      </c>
      <c r="B14" s="1100"/>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120" t="s">
        <v>420</v>
      </c>
      <c r="C29" s="1120"/>
      <c r="D29" s="1120"/>
      <c r="E29" s="1120"/>
      <c r="F29" s="267"/>
      <c r="G29" s="267"/>
      <c r="H29" s="267"/>
      <c r="I29" s="267"/>
      <c r="J29" s="267"/>
      <c r="K29" s="267"/>
      <c r="L29" s="215"/>
      <c r="M29" s="1119" t="s">
        <v>433</v>
      </c>
      <c r="N29" s="1119"/>
      <c r="O29" s="1119"/>
      <c r="P29" s="1119"/>
      <c r="Q29" s="1119"/>
      <c r="R29" s="1119"/>
      <c r="S29" s="1119"/>
      <c r="T29" s="1119"/>
    </row>
    <row r="30" spans="1:20" ht="18.75" customHeight="1">
      <c r="A30" s="211"/>
      <c r="B30" s="1121" t="s">
        <v>250</v>
      </c>
      <c r="C30" s="1121"/>
      <c r="D30" s="1121"/>
      <c r="E30" s="1121"/>
      <c r="F30" s="214"/>
      <c r="G30" s="214"/>
      <c r="H30" s="214"/>
      <c r="I30" s="214"/>
      <c r="J30" s="214"/>
      <c r="K30" s="214"/>
      <c r="L30" s="215"/>
      <c r="M30" s="1122" t="s">
        <v>251</v>
      </c>
      <c r="N30" s="1122"/>
      <c r="O30" s="1122"/>
      <c r="P30" s="1122"/>
      <c r="Q30" s="1122"/>
      <c r="R30" s="1122"/>
      <c r="S30" s="1122"/>
      <c r="T30" s="1122"/>
    </row>
    <row r="31" spans="1:20" ht="18.75">
      <c r="A31" s="217"/>
      <c r="B31" s="1066"/>
      <c r="C31" s="1066"/>
      <c r="D31" s="1066"/>
      <c r="E31" s="1066"/>
      <c r="F31" s="218"/>
      <c r="G31" s="218"/>
      <c r="H31" s="218"/>
      <c r="I31" s="218"/>
      <c r="J31" s="218"/>
      <c r="K31" s="218"/>
      <c r="L31" s="218"/>
      <c r="M31" s="1067"/>
      <c r="N31" s="1067"/>
      <c r="O31" s="1067"/>
      <c r="P31" s="1067"/>
      <c r="Q31" s="1067"/>
      <c r="R31" s="1067"/>
      <c r="S31" s="1067"/>
      <c r="T31" s="1067"/>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123" t="s">
        <v>399</v>
      </c>
      <c r="C33" s="1123"/>
      <c r="D33" s="1123"/>
      <c r="E33" s="1123"/>
      <c r="F33" s="1123"/>
      <c r="G33" s="268"/>
      <c r="H33" s="268"/>
      <c r="I33" s="268"/>
      <c r="J33" s="268"/>
      <c r="K33" s="268"/>
      <c r="L33" s="268"/>
      <c r="M33" s="268"/>
      <c r="N33" s="1123" t="s">
        <v>399</v>
      </c>
      <c r="O33" s="1123"/>
      <c r="P33" s="1123"/>
      <c r="Q33" s="1123"/>
      <c r="R33" s="1123"/>
      <c r="S33" s="1123"/>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939" t="s">
        <v>352</v>
      </c>
      <c r="C35" s="939"/>
      <c r="D35" s="939"/>
      <c r="E35" s="939"/>
      <c r="F35" s="219"/>
      <c r="G35" s="219"/>
      <c r="H35" s="219"/>
      <c r="I35" s="191"/>
      <c r="J35" s="191"/>
      <c r="K35" s="191"/>
      <c r="L35" s="191"/>
      <c r="M35" s="940" t="s">
        <v>353</v>
      </c>
      <c r="N35" s="940"/>
      <c r="O35" s="940"/>
      <c r="P35" s="940"/>
      <c r="Q35" s="940"/>
      <c r="R35" s="940"/>
      <c r="S35" s="940"/>
      <c r="T35" s="940"/>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K8:M9"/>
    <mergeCell ref="J8:J10"/>
    <mergeCell ref="P1:T1"/>
    <mergeCell ref="P2:T2"/>
    <mergeCell ref="P3:T3"/>
    <mergeCell ref="P4:T4"/>
    <mergeCell ref="T8:T10"/>
    <mergeCell ref="S8:S10"/>
    <mergeCell ref="B33:F33"/>
    <mergeCell ref="N33:S33"/>
    <mergeCell ref="A1:C1"/>
    <mergeCell ref="A3:C3"/>
    <mergeCell ref="A4:C4"/>
    <mergeCell ref="E2:N2"/>
    <mergeCell ref="A2:D2"/>
    <mergeCell ref="D4:N4"/>
    <mergeCell ref="E1:N1"/>
    <mergeCell ref="E3:N3"/>
    <mergeCell ref="A13:B13"/>
    <mergeCell ref="D8:E8"/>
    <mergeCell ref="M35:T35"/>
    <mergeCell ref="M29:T29"/>
    <mergeCell ref="B35:E35"/>
    <mergeCell ref="B29:E29"/>
    <mergeCell ref="B30:E30"/>
    <mergeCell ref="B31:E31"/>
    <mergeCell ref="M30:T30"/>
    <mergeCell ref="M31:T31"/>
    <mergeCell ref="H8:I8"/>
    <mergeCell ref="I9:I10"/>
    <mergeCell ref="A14:B14"/>
    <mergeCell ref="P5:T5"/>
    <mergeCell ref="D6:J6"/>
    <mergeCell ref="A12:B12"/>
    <mergeCell ref="N8:P9"/>
    <mergeCell ref="Q8:Q10"/>
    <mergeCell ref="R8:R10"/>
    <mergeCell ref="K6:T7"/>
    <mergeCell ref="C6:C10"/>
    <mergeCell ref="E9:E10"/>
    <mergeCell ref="A11:B11"/>
    <mergeCell ref="F9:F10"/>
    <mergeCell ref="A6:B10"/>
    <mergeCell ref="D9:D10"/>
    <mergeCell ref="D7:J7"/>
    <mergeCell ref="F8:G8"/>
    <mergeCell ref="H9:H10"/>
    <mergeCell ref="G9:G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137" t="s">
        <v>280</v>
      </c>
      <c r="B1" s="1137"/>
      <c r="C1" s="1137"/>
      <c r="D1" s="1140" t="s">
        <v>472</v>
      </c>
      <c r="E1" s="1140"/>
      <c r="F1" s="1140"/>
      <c r="G1" s="1140"/>
      <c r="H1" s="1140"/>
      <c r="I1" s="1140"/>
      <c r="J1" s="1141" t="s">
        <v>473</v>
      </c>
      <c r="K1" s="1142"/>
      <c r="L1" s="1142"/>
    </row>
    <row r="2" spans="1:12" ht="34.5" customHeight="1">
      <c r="A2" s="1143" t="s">
        <v>434</v>
      </c>
      <c r="B2" s="1143"/>
      <c r="C2" s="1143"/>
      <c r="D2" s="1140"/>
      <c r="E2" s="1140"/>
      <c r="F2" s="1140"/>
      <c r="G2" s="1140"/>
      <c r="H2" s="1140"/>
      <c r="I2" s="1140"/>
      <c r="J2" s="1144" t="s">
        <v>474</v>
      </c>
      <c r="K2" s="1145"/>
      <c r="L2" s="1145"/>
    </row>
    <row r="3" spans="1:12" ht="15" customHeight="1">
      <c r="A3" s="274" t="s">
        <v>364</v>
      </c>
      <c r="B3" s="183"/>
      <c r="C3" s="1146"/>
      <c r="D3" s="1146"/>
      <c r="E3" s="1146"/>
      <c r="F3" s="1146"/>
      <c r="G3" s="1146"/>
      <c r="H3" s="1146"/>
      <c r="I3" s="1146"/>
      <c r="J3" s="1138"/>
      <c r="K3" s="1139"/>
      <c r="L3" s="1139"/>
    </row>
    <row r="4" spans="1:12" ht="15.75" customHeight="1">
      <c r="A4" s="275"/>
      <c r="B4" s="275"/>
      <c r="C4" s="276"/>
      <c r="D4" s="276"/>
      <c r="E4" s="179"/>
      <c r="F4" s="179"/>
      <c r="G4" s="179"/>
      <c r="H4" s="277"/>
      <c r="I4" s="277"/>
      <c r="J4" s="1134" t="s">
        <v>281</v>
      </c>
      <c r="K4" s="1134"/>
      <c r="L4" s="1134"/>
    </row>
    <row r="5" spans="1:12" s="278" customFormat="1" ht="28.5" customHeight="1">
      <c r="A5" s="1148" t="s">
        <v>72</v>
      </c>
      <c r="B5" s="1148"/>
      <c r="C5" s="1058" t="s">
        <v>38</v>
      </c>
      <c r="D5" s="1058" t="s">
        <v>282</v>
      </c>
      <c r="E5" s="1058"/>
      <c r="F5" s="1058"/>
      <c r="G5" s="1058"/>
      <c r="H5" s="1058" t="s">
        <v>283</v>
      </c>
      <c r="I5" s="1058"/>
      <c r="J5" s="1058" t="s">
        <v>284</v>
      </c>
      <c r="K5" s="1058"/>
      <c r="L5" s="1058"/>
    </row>
    <row r="6" spans="1:13" s="278" customFormat="1" ht="80.25" customHeight="1">
      <c r="A6" s="1148"/>
      <c r="B6" s="1148"/>
      <c r="C6" s="1058"/>
      <c r="D6" s="224" t="s">
        <v>285</v>
      </c>
      <c r="E6" s="224" t="s">
        <v>286</v>
      </c>
      <c r="F6" s="224" t="s">
        <v>435</v>
      </c>
      <c r="G6" s="224" t="s">
        <v>287</v>
      </c>
      <c r="H6" s="224" t="s">
        <v>288</v>
      </c>
      <c r="I6" s="224" t="s">
        <v>289</v>
      </c>
      <c r="J6" s="224" t="s">
        <v>290</v>
      </c>
      <c r="K6" s="224" t="s">
        <v>291</v>
      </c>
      <c r="L6" s="224" t="s">
        <v>292</v>
      </c>
      <c r="M6" s="279"/>
    </row>
    <row r="7" spans="1:12" s="280" customFormat="1" ht="16.5" customHeight="1">
      <c r="A7" s="1135" t="s">
        <v>6</v>
      </c>
      <c r="B7" s="1135"/>
      <c r="C7" s="230">
        <v>1</v>
      </c>
      <c r="D7" s="230">
        <v>2</v>
      </c>
      <c r="E7" s="230">
        <v>3</v>
      </c>
      <c r="F7" s="230">
        <v>4</v>
      </c>
      <c r="G7" s="230">
        <v>5</v>
      </c>
      <c r="H7" s="230">
        <v>6</v>
      </c>
      <c r="I7" s="230">
        <v>7</v>
      </c>
      <c r="J7" s="230">
        <v>8</v>
      </c>
      <c r="K7" s="230">
        <v>9</v>
      </c>
      <c r="L7" s="230">
        <v>10</v>
      </c>
    </row>
    <row r="8" spans="1:12" s="280" customFormat="1" ht="16.5" customHeight="1">
      <c r="A8" s="1151" t="s">
        <v>432</v>
      </c>
      <c r="B8" s="1152"/>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149" t="s">
        <v>408</v>
      </c>
      <c r="B9" s="1150"/>
      <c r="C9" s="233">
        <v>9</v>
      </c>
      <c r="D9" s="233">
        <v>2</v>
      </c>
      <c r="E9" s="233">
        <v>2</v>
      </c>
      <c r="F9" s="233">
        <v>0</v>
      </c>
      <c r="G9" s="233">
        <v>5</v>
      </c>
      <c r="H9" s="233">
        <v>8</v>
      </c>
      <c r="I9" s="233">
        <v>0</v>
      </c>
      <c r="J9" s="233">
        <v>8</v>
      </c>
      <c r="K9" s="233">
        <v>1</v>
      </c>
      <c r="L9" s="233">
        <v>0</v>
      </c>
    </row>
    <row r="10" spans="1:12" s="280" customFormat="1" ht="16.5" customHeight="1">
      <c r="A10" s="1136" t="s">
        <v>277</v>
      </c>
      <c r="B10" s="1136"/>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056" t="s">
        <v>437</v>
      </c>
      <c r="B25" s="1056"/>
      <c r="C25" s="1056"/>
      <c r="D25" s="1056"/>
      <c r="E25" s="191"/>
      <c r="F25" s="1063" t="s">
        <v>395</v>
      </c>
      <c r="G25" s="1063"/>
      <c r="H25" s="1063"/>
      <c r="I25" s="1063"/>
      <c r="J25" s="1063"/>
      <c r="K25" s="1063"/>
      <c r="L25" s="1063"/>
      <c r="AJ25" s="199" t="s">
        <v>393</v>
      </c>
    </row>
    <row r="26" spans="1:44" ht="15" customHeight="1">
      <c r="A26" s="1069" t="s">
        <v>250</v>
      </c>
      <c r="B26" s="1069"/>
      <c r="C26" s="1069"/>
      <c r="D26" s="1069"/>
      <c r="E26" s="192"/>
      <c r="F26" s="1072" t="s">
        <v>251</v>
      </c>
      <c r="G26" s="1072"/>
      <c r="H26" s="1072"/>
      <c r="I26" s="1072"/>
      <c r="J26" s="1072"/>
      <c r="K26" s="1072"/>
      <c r="L26" s="1072"/>
      <c r="AR26" s="199"/>
    </row>
    <row r="27" spans="1:12" s="179" customFormat="1" ht="18.75">
      <c r="A27" s="1066"/>
      <c r="B27" s="1066"/>
      <c r="C27" s="1066"/>
      <c r="D27" s="1066"/>
      <c r="E27" s="191"/>
      <c r="F27" s="1067"/>
      <c r="G27" s="1067"/>
      <c r="H27" s="1067"/>
      <c r="I27" s="1067"/>
      <c r="J27" s="1067"/>
      <c r="K27" s="1067"/>
      <c r="L27" s="1067"/>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147" t="s">
        <v>399</v>
      </c>
      <c r="C29" s="1147"/>
      <c r="D29" s="191"/>
      <c r="E29" s="191"/>
      <c r="F29" s="191"/>
      <c r="G29" s="191"/>
      <c r="H29" s="1147" t="s">
        <v>399</v>
      </c>
      <c r="I29" s="1147"/>
      <c r="J29" s="1147"/>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939" t="s">
        <v>352</v>
      </c>
      <c r="B37" s="939"/>
      <c r="C37" s="939"/>
      <c r="D37" s="939"/>
      <c r="E37" s="219"/>
      <c r="F37" s="940" t="s">
        <v>353</v>
      </c>
      <c r="G37" s="940"/>
      <c r="H37" s="940"/>
      <c r="I37" s="940"/>
      <c r="J37" s="940"/>
      <c r="K37" s="940"/>
      <c r="L37" s="940"/>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160" t="s">
        <v>298</v>
      </c>
      <c r="B1" s="1160"/>
      <c r="C1" s="1160"/>
      <c r="D1" s="1140" t="s">
        <v>475</v>
      </c>
      <c r="E1" s="1140"/>
      <c r="F1" s="1140"/>
      <c r="G1" s="1140"/>
      <c r="H1" s="1140"/>
      <c r="I1" s="179"/>
      <c r="J1" s="180" t="s">
        <v>469</v>
      </c>
      <c r="K1" s="289"/>
      <c r="L1" s="289"/>
    </row>
    <row r="2" spans="1:12" ht="15.75" customHeight="1">
      <c r="A2" s="1164" t="s">
        <v>410</v>
      </c>
      <c r="B2" s="1164"/>
      <c r="C2" s="1164"/>
      <c r="D2" s="1140"/>
      <c r="E2" s="1140"/>
      <c r="F2" s="1140"/>
      <c r="G2" s="1140"/>
      <c r="H2" s="1140"/>
      <c r="I2" s="179"/>
      <c r="J2" s="290" t="s">
        <v>411</v>
      </c>
      <c r="K2" s="290"/>
      <c r="L2" s="290"/>
    </row>
    <row r="3" spans="1:12" ht="18.75" customHeight="1">
      <c r="A3" s="1082" t="s">
        <v>362</v>
      </c>
      <c r="B3" s="1082"/>
      <c r="C3" s="1082"/>
      <c r="D3" s="176"/>
      <c r="E3" s="176"/>
      <c r="F3" s="176"/>
      <c r="G3" s="176"/>
      <c r="H3" s="176"/>
      <c r="I3" s="179"/>
      <c r="J3" s="183" t="s">
        <v>468</v>
      </c>
      <c r="K3" s="183"/>
      <c r="L3" s="183"/>
    </row>
    <row r="4" spans="1:12" ht="15.75" customHeight="1">
      <c r="A4" s="1161" t="s">
        <v>438</v>
      </c>
      <c r="B4" s="1161"/>
      <c r="C4" s="1161"/>
      <c r="D4" s="1159"/>
      <c r="E4" s="1159"/>
      <c r="F4" s="1159"/>
      <c r="G4" s="1159"/>
      <c r="H4" s="1159"/>
      <c r="I4" s="179"/>
      <c r="J4" s="291" t="s">
        <v>403</v>
      </c>
      <c r="K4" s="291"/>
      <c r="L4" s="291"/>
    </row>
    <row r="5" spans="1:12" ht="15.75">
      <c r="A5" s="1165"/>
      <c r="B5" s="1165"/>
      <c r="C5" s="175"/>
      <c r="D5" s="179"/>
      <c r="E5" s="179"/>
      <c r="F5" s="179"/>
      <c r="G5" s="179"/>
      <c r="H5" s="292"/>
      <c r="I5" s="1157" t="s">
        <v>439</v>
      </c>
      <c r="J5" s="1157"/>
      <c r="K5" s="1157"/>
      <c r="L5" s="1157"/>
    </row>
    <row r="6" spans="1:12" ht="18.75" customHeight="1">
      <c r="A6" s="1074" t="s">
        <v>72</v>
      </c>
      <c r="B6" s="1075"/>
      <c r="C6" s="1153" t="s">
        <v>299</v>
      </c>
      <c r="D6" s="1070" t="s">
        <v>300</v>
      </c>
      <c r="E6" s="1158"/>
      <c r="F6" s="1071"/>
      <c r="G6" s="1070" t="s">
        <v>301</v>
      </c>
      <c r="H6" s="1158"/>
      <c r="I6" s="1158"/>
      <c r="J6" s="1158"/>
      <c r="K6" s="1158"/>
      <c r="L6" s="1071"/>
    </row>
    <row r="7" spans="1:12" ht="15.75" customHeight="1">
      <c r="A7" s="1076"/>
      <c r="B7" s="1077"/>
      <c r="C7" s="1154"/>
      <c r="D7" s="1070" t="s">
        <v>7</v>
      </c>
      <c r="E7" s="1158"/>
      <c r="F7" s="1071"/>
      <c r="G7" s="1153" t="s">
        <v>37</v>
      </c>
      <c r="H7" s="1070" t="s">
        <v>7</v>
      </c>
      <c r="I7" s="1158"/>
      <c r="J7" s="1158"/>
      <c r="K7" s="1158"/>
      <c r="L7" s="1071"/>
    </row>
    <row r="8" spans="1:12" ht="14.25" customHeight="1">
      <c r="A8" s="1076"/>
      <c r="B8" s="1077"/>
      <c r="C8" s="1154"/>
      <c r="D8" s="1153" t="s">
        <v>302</v>
      </c>
      <c r="E8" s="1153" t="s">
        <v>303</v>
      </c>
      <c r="F8" s="1153" t="s">
        <v>304</v>
      </c>
      <c r="G8" s="1154"/>
      <c r="H8" s="1153" t="s">
        <v>305</v>
      </c>
      <c r="I8" s="1153" t="s">
        <v>306</v>
      </c>
      <c r="J8" s="1153" t="s">
        <v>307</v>
      </c>
      <c r="K8" s="1153" t="s">
        <v>308</v>
      </c>
      <c r="L8" s="1153" t="s">
        <v>309</v>
      </c>
    </row>
    <row r="9" spans="1:12" ht="77.25" customHeight="1">
      <c r="A9" s="1078"/>
      <c r="B9" s="1079"/>
      <c r="C9" s="1155"/>
      <c r="D9" s="1155"/>
      <c r="E9" s="1155"/>
      <c r="F9" s="1155"/>
      <c r="G9" s="1155"/>
      <c r="H9" s="1155"/>
      <c r="I9" s="1155"/>
      <c r="J9" s="1155"/>
      <c r="K9" s="1155"/>
      <c r="L9" s="1155"/>
    </row>
    <row r="10" spans="1:12" s="280" customFormat="1" ht="16.5" customHeight="1">
      <c r="A10" s="1166" t="s">
        <v>6</v>
      </c>
      <c r="B10" s="1167"/>
      <c r="C10" s="229">
        <v>1</v>
      </c>
      <c r="D10" s="229">
        <v>2</v>
      </c>
      <c r="E10" s="229">
        <v>3</v>
      </c>
      <c r="F10" s="229">
        <v>4</v>
      </c>
      <c r="G10" s="229">
        <v>5</v>
      </c>
      <c r="H10" s="229">
        <v>6</v>
      </c>
      <c r="I10" s="229">
        <v>7</v>
      </c>
      <c r="J10" s="229">
        <v>8</v>
      </c>
      <c r="K10" s="230" t="s">
        <v>78</v>
      </c>
      <c r="L10" s="230" t="s">
        <v>101</v>
      </c>
    </row>
    <row r="11" spans="1:12" s="280" customFormat="1" ht="16.5" customHeight="1">
      <c r="A11" s="1170" t="s">
        <v>407</v>
      </c>
      <c r="B11" s="1171"/>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68" t="s">
        <v>408</v>
      </c>
      <c r="B12" s="1169"/>
      <c r="C12" s="233">
        <v>12</v>
      </c>
      <c r="D12" s="233">
        <v>0</v>
      </c>
      <c r="E12" s="233">
        <v>1</v>
      </c>
      <c r="F12" s="233">
        <v>11</v>
      </c>
      <c r="G12" s="233">
        <v>10</v>
      </c>
      <c r="H12" s="233">
        <v>0</v>
      </c>
      <c r="I12" s="233">
        <v>0</v>
      </c>
      <c r="J12" s="233">
        <v>0</v>
      </c>
      <c r="K12" s="233">
        <v>6</v>
      </c>
      <c r="L12" s="233">
        <v>4</v>
      </c>
    </row>
    <row r="13" spans="1:32" s="280" customFormat="1" ht="16.5" customHeight="1">
      <c r="A13" s="1162" t="s">
        <v>37</v>
      </c>
      <c r="B13" s="1163"/>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056" t="s">
        <v>395</v>
      </c>
      <c r="B28" s="1056"/>
      <c r="C28" s="1056"/>
      <c r="D28" s="1056"/>
      <c r="E28" s="1056"/>
      <c r="F28" s="191"/>
      <c r="G28" s="190"/>
      <c r="H28" s="303" t="s">
        <v>440</v>
      </c>
      <c r="I28" s="304"/>
      <c r="J28" s="304"/>
      <c r="K28" s="304"/>
      <c r="L28" s="304"/>
      <c r="AG28" s="242" t="s">
        <v>396</v>
      </c>
      <c r="AI28" s="199">
        <f>82/88</f>
        <v>0.9318181818181818</v>
      </c>
    </row>
    <row r="29" spans="1:12" ht="15" customHeight="1">
      <c r="A29" s="1069" t="s">
        <v>4</v>
      </c>
      <c r="B29" s="1069"/>
      <c r="C29" s="1069"/>
      <c r="D29" s="1069"/>
      <c r="E29" s="1069"/>
      <c r="F29" s="191"/>
      <c r="G29" s="192"/>
      <c r="H29" s="1072" t="s">
        <v>251</v>
      </c>
      <c r="I29" s="1072"/>
      <c r="J29" s="1072"/>
      <c r="K29" s="1072"/>
      <c r="L29" s="1072"/>
    </row>
    <row r="30" spans="1:14" s="179" customFormat="1" ht="18.75">
      <c r="A30" s="1066"/>
      <c r="B30" s="1066"/>
      <c r="C30" s="1066"/>
      <c r="D30" s="1066"/>
      <c r="E30" s="1066"/>
      <c r="F30" s="305"/>
      <c r="G30" s="191"/>
      <c r="H30" s="1067"/>
      <c r="I30" s="1067"/>
      <c r="J30" s="1067"/>
      <c r="K30" s="1067"/>
      <c r="L30" s="1067"/>
      <c r="M30" s="306"/>
      <c r="N30" s="306"/>
    </row>
    <row r="31" spans="1:12" ht="18">
      <c r="A31" s="191"/>
      <c r="B31" s="191"/>
      <c r="C31" s="191"/>
      <c r="D31" s="191"/>
      <c r="E31" s="191"/>
      <c r="F31" s="191"/>
      <c r="G31" s="191"/>
      <c r="H31" s="191"/>
      <c r="I31" s="191"/>
      <c r="J31" s="191"/>
      <c r="K31" s="191"/>
      <c r="L31" s="307"/>
    </row>
    <row r="32" spans="1:12" ht="18">
      <c r="A32" s="191"/>
      <c r="B32" s="1147" t="s">
        <v>399</v>
      </c>
      <c r="C32" s="1147"/>
      <c r="D32" s="1147"/>
      <c r="E32" s="1147"/>
      <c r="F32" s="191"/>
      <c r="G32" s="191"/>
      <c r="H32" s="191"/>
      <c r="I32" s="1147" t="s">
        <v>399</v>
      </c>
      <c r="J32" s="1147"/>
      <c r="K32" s="1147"/>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156" t="s">
        <v>310</v>
      </c>
      <c r="C40" s="1156"/>
      <c r="D40" s="1156"/>
      <c r="E40" s="1156"/>
      <c r="F40" s="1156"/>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939" t="s">
        <v>441</v>
      </c>
      <c r="B43" s="939"/>
      <c r="C43" s="939"/>
      <c r="D43" s="939"/>
      <c r="E43" s="939"/>
      <c r="F43" s="191"/>
      <c r="G43" s="310"/>
      <c r="H43" s="940" t="s">
        <v>353</v>
      </c>
      <c r="I43" s="940"/>
      <c r="J43" s="940"/>
      <c r="K43" s="940"/>
      <c r="L43" s="940"/>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84" t="s">
        <v>313</v>
      </c>
      <c r="B1" s="1084"/>
      <c r="C1" s="1084"/>
      <c r="D1" s="1084"/>
      <c r="E1" s="315"/>
      <c r="F1" s="1080" t="s">
        <v>476</v>
      </c>
      <c r="G1" s="1080"/>
      <c r="H1" s="1080"/>
      <c r="I1" s="1080"/>
      <c r="J1" s="1080"/>
      <c r="K1" s="1080"/>
      <c r="L1" s="1080"/>
      <c r="M1" s="1080"/>
      <c r="N1" s="1080"/>
      <c r="O1" s="1080"/>
      <c r="P1" s="316" t="s">
        <v>400</v>
      </c>
      <c r="Q1" s="317"/>
      <c r="R1" s="317"/>
      <c r="S1" s="317"/>
      <c r="T1" s="317"/>
    </row>
    <row r="2" spans="1:20" s="186" customFormat="1" ht="20.25" customHeight="1">
      <c r="A2" s="1178" t="s">
        <v>410</v>
      </c>
      <c r="B2" s="1178"/>
      <c r="C2" s="1178"/>
      <c r="D2" s="1178"/>
      <c r="E2" s="315"/>
      <c r="F2" s="1080"/>
      <c r="G2" s="1080"/>
      <c r="H2" s="1080"/>
      <c r="I2" s="1080"/>
      <c r="J2" s="1080"/>
      <c r="K2" s="1080"/>
      <c r="L2" s="1080"/>
      <c r="M2" s="1080"/>
      <c r="N2" s="1080"/>
      <c r="O2" s="1080"/>
      <c r="P2" s="317" t="s">
        <v>442</v>
      </c>
      <c r="Q2" s="317"/>
      <c r="R2" s="317"/>
      <c r="S2" s="317"/>
      <c r="T2" s="317"/>
    </row>
    <row r="3" spans="1:20" s="186" customFormat="1" ht="15" customHeight="1">
      <c r="A3" s="1178" t="s">
        <v>362</v>
      </c>
      <c r="B3" s="1178"/>
      <c r="C3" s="1178"/>
      <c r="D3" s="1178"/>
      <c r="E3" s="315"/>
      <c r="F3" s="1080"/>
      <c r="G3" s="1080"/>
      <c r="H3" s="1080"/>
      <c r="I3" s="1080"/>
      <c r="J3" s="1080"/>
      <c r="K3" s="1080"/>
      <c r="L3" s="1080"/>
      <c r="M3" s="1080"/>
      <c r="N3" s="1080"/>
      <c r="O3" s="1080"/>
      <c r="P3" s="316" t="s">
        <v>468</v>
      </c>
      <c r="Q3" s="316"/>
      <c r="R3" s="316"/>
      <c r="S3" s="318"/>
      <c r="T3" s="318"/>
    </row>
    <row r="4" spans="1:20" s="186" customFormat="1" ht="15.75" customHeight="1">
      <c r="A4" s="1180" t="s">
        <v>443</v>
      </c>
      <c r="B4" s="1180"/>
      <c r="C4" s="1180"/>
      <c r="D4" s="1180"/>
      <c r="E4" s="316"/>
      <c r="F4" s="1080"/>
      <c r="G4" s="1080"/>
      <c r="H4" s="1080"/>
      <c r="I4" s="1080"/>
      <c r="J4" s="1080"/>
      <c r="K4" s="1080"/>
      <c r="L4" s="1080"/>
      <c r="M4" s="1080"/>
      <c r="N4" s="1080"/>
      <c r="O4" s="1080"/>
      <c r="P4" s="317" t="s">
        <v>412</v>
      </c>
      <c r="Q4" s="316"/>
      <c r="R4" s="316"/>
      <c r="S4" s="318"/>
      <c r="T4" s="318"/>
    </row>
    <row r="5" spans="1:18" s="186" customFormat="1" ht="24" customHeight="1">
      <c r="A5" s="319"/>
      <c r="B5" s="319"/>
      <c r="C5" s="319"/>
      <c r="F5" s="1179"/>
      <c r="G5" s="1179"/>
      <c r="H5" s="1179"/>
      <c r="I5" s="1179"/>
      <c r="J5" s="1179"/>
      <c r="K5" s="1179"/>
      <c r="L5" s="1179"/>
      <c r="M5" s="1179"/>
      <c r="N5" s="1179"/>
      <c r="O5" s="1179"/>
      <c r="P5" s="320" t="s">
        <v>444</v>
      </c>
      <c r="Q5" s="321"/>
      <c r="R5" s="321"/>
    </row>
    <row r="6" spans="1:20" s="322" customFormat="1" ht="21.75" customHeight="1">
      <c r="A6" s="1189" t="s">
        <v>72</v>
      </c>
      <c r="B6" s="1190"/>
      <c r="C6" s="1087" t="s">
        <v>38</v>
      </c>
      <c r="D6" s="1090"/>
      <c r="E6" s="1087" t="s">
        <v>7</v>
      </c>
      <c r="F6" s="1174"/>
      <c r="G6" s="1174"/>
      <c r="H6" s="1174"/>
      <c r="I6" s="1174"/>
      <c r="J6" s="1174"/>
      <c r="K6" s="1174"/>
      <c r="L6" s="1174"/>
      <c r="M6" s="1174"/>
      <c r="N6" s="1174"/>
      <c r="O6" s="1174"/>
      <c r="P6" s="1174"/>
      <c r="Q6" s="1174"/>
      <c r="R6" s="1174"/>
      <c r="S6" s="1174"/>
      <c r="T6" s="1090"/>
    </row>
    <row r="7" spans="1:21" s="322" customFormat="1" ht="22.5" customHeight="1">
      <c r="A7" s="1191"/>
      <c r="B7" s="1192"/>
      <c r="C7" s="1059" t="s">
        <v>445</v>
      </c>
      <c r="D7" s="1059" t="s">
        <v>446</v>
      </c>
      <c r="E7" s="1087" t="s">
        <v>314</v>
      </c>
      <c r="F7" s="1183"/>
      <c r="G7" s="1183"/>
      <c r="H7" s="1183"/>
      <c r="I7" s="1183"/>
      <c r="J7" s="1183"/>
      <c r="K7" s="1183"/>
      <c r="L7" s="1184"/>
      <c r="M7" s="1087" t="s">
        <v>447</v>
      </c>
      <c r="N7" s="1174"/>
      <c r="O7" s="1174"/>
      <c r="P7" s="1174"/>
      <c r="Q7" s="1174"/>
      <c r="R7" s="1174"/>
      <c r="S7" s="1174"/>
      <c r="T7" s="1090"/>
      <c r="U7" s="323"/>
    </row>
    <row r="8" spans="1:20" s="322" customFormat="1" ht="42.75" customHeight="1">
      <c r="A8" s="1191"/>
      <c r="B8" s="1192"/>
      <c r="C8" s="1060"/>
      <c r="D8" s="1060"/>
      <c r="E8" s="1058" t="s">
        <v>448</v>
      </c>
      <c r="F8" s="1058"/>
      <c r="G8" s="1087" t="s">
        <v>449</v>
      </c>
      <c r="H8" s="1174"/>
      <c r="I8" s="1174"/>
      <c r="J8" s="1174"/>
      <c r="K8" s="1174"/>
      <c r="L8" s="1090"/>
      <c r="M8" s="1058" t="s">
        <v>450</v>
      </c>
      <c r="N8" s="1058"/>
      <c r="O8" s="1087" t="s">
        <v>449</v>
      </c>
      <c r="P8" s="1174"/>
      <c r="Q8" s="1174"/>
      <c r="R8" s="1174"/>
      <c r="S8" s="1174"/>
      <c r="T8" s="1090"/>
    </row>
    <row r="9" spans="1:20" s="322" customFormat="1" ht="35.25" customHeight="1">
      <c r="A9" s="1191"/>
      <c r="B9" s="1192"/>
      <c r="C9" s="1060"/>
      <c r="D9" s="1060"/>
      <c r="E9" s="1059" t="s">
        <v>315</v>
      </c>
      <c r="F9" s="1059" t="s">
        <v>316</v>
      </c>
      <c r="G9" s="1172" t="s">
        <v>317</v>
      </c>
      <c r="H9" s="1173"/>
      <c r="I9" s="1172" t="s">
        <v>318</v>
      </c>
      <c r="J9" s="1173"/>
      <c r="K9" s="1172" t="s">
        <v>319</v>
      </c>
      <c r="L9" s="1173"/>
      <c r="M9" s="1059" t="s">
        <v>320</v>
      </c>
      <c r="N9" s="1059" t="s">
        <v>316</v>
      </c>
      <c r="O9" s="1172" t="s">
        <v>317</v>
      </c>
      <c r="P9" s="1173"/>
      <c r="Q9" s="1172" t="s">
        <v>321</v>
      </c>
      <c r="R9" s="1173"/>
      <c r="S9" s="1172" t="s">
        <v>322</v>
      </c>
      <c r="T9" s="1173"/>
    </row>
    <row r="10" spans="1:20" s="322" customFormat="1" ht="25.5" customHeight="1">
      <c r="A10" s="1172"/>
      <c r="B10" s="1173"/>
      <c r="C10" s="1061"/>
      <c r="D10" s="1061"/>
      <c r="E10" s="1061"/>
      <c r="F10" s="1061"/>
      <c r="G10" s="224" t="s">
        <v>320</v>
      </c>
      <c r="H10" s="224" t="s">
        <v>316</v>
      </c>
      <c r="I10" s="228" t="s">
        <v>320</v>
      </c>
      <c r="J10" s="224" t="s">
        <v>316</v>
      </c>
      <c r="K10" s="228" t="s">
        <v>320</v>
      </c>
      <c r="L10" s="224" t="s">
        <v>316</v>
      </c>
      <c r="M10" s="1061"/>
      <c r="N10" s="1061"/>
      <c r="O10" s="224" t="s">
        <v>320</v>
      </c>
      <c r="P10" s="224" t="s">
        <v>316</v>
      </c>
      <c r="Q10" s="228" t="s">
        <v>320</v>
      </c>
      <c r="R10" s="224" t="s">
        <v>316</v>
      </c>
      <c r="S10" s="228" t="s">
        <v>320</v>
      </c>
      <c r="T10" s="224" t="s">
        <v>316</v>
      </c>
    </row>
    <row r="11" spans="1:32" s="231" customFormat="1" ht="12.75">
      <c r="A11" s="1187" t="s">
        <v>6</v>
      </c>
      <c r="B11" s="1188"/>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185" t="s">
        <v>432</v>
      </c>
      <c r="B12" s="1186"/>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81" t="s">
        <v>408</v>
      </c>
      <c r="B13" s="1182"/>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75" t="s">
        <v>37</v>
      </c>
      <c r="B14" s="1176"/>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056" t="s">
        <v>395</v>
      </c>
      <c r="C29" s="1056"/>
      <c r="D29" s="1056"/>
      <c r="E29" s="1056"/>
      <c r="F29" s="1056"/>
      <c r="G29" s="1056"/>
      <c r="H29" s="190"/>
      <c r="I29" s="190"/>
      <c r="J29" s="191"/>
      <c r="K29" s="190"/>
      <c r="L29" s="1063" t="s">
        <v>395</v>
      </c>
      <c r="M29" s="1063"/>
      <c r="N29" s="1063"/>
      <c r="O29" s="1063"/>
      <c r="P29" s="1063"/>
      <c r="Q29" s="1063"/>
      <c r="R29" s="1063"/>
      <c r="S29" s="1063"/>
      <c r="T29" s="1063"/>
    </row>
    <row r="30" spans="1:20" ht="15" customHeight="1">
      <c r="A30" s="189"/>
      <c r="B30" s="1069" t="s">
        <v>43</v>
      </c>
      <c r="C30" s="1069"/>
      <c r="D30" s="1069"/>
      <c r="E30" s="1069"/>
      <c r="F30" s="1069"/>
      <c r="G30" s="1069"/>
      <c r="H30" s="192"/>
      <c r="I30" s="192"/>
      <c r="J30" s="192"/>
      <c r="K30" s="192"/>
      <c r="L30" s="1072" t="s">
        <v>351</v>
      </c>
      <c r="M30" s="1072"/>
      <c r="N30" s="1072"/>
      <c r="O30" s="1072"/>
      <c r="P30" s="1072"/>
      <c r="Q30" s="1072"/>
      <c r="R30" s="1072"/>
      <c r="S30" s="1072"/>
      <c r="T30" s="1072"/>
    </row>
    <row r="31" spans="1:20" s="329" customFormat="1" ht="18.75">
      <c r="A31" s="327"/>
      <c r="B31" s="1066"/>
      <c r="C31" s="1066"/>
      <c r="D31" s="1066"/>
      <c r="E31" s="1066"/>
      <c r="F31" s="1066"/>
      <c r="G31" s="328"/>
      <c r="H31" s="328"/>
      <c r="I31" s="328"/>
      <c r="J31" s="328"/>
      <c r="K31" s="328"/>
      <c r="L31" s="1067"/>
      <c r="M31" s="1067"/>
      <c r="N31" s="1067"/>
      <c r="O31" s="1067"/>
      <c r="P31" s="1067"/>
      <c r="Q31" s="1067"/>
      <c r="R31" s="1067"/>
      <c r="S31" s="1067"/>
      <c r="T31" s="1067"/>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77" t="s">
        <v>399</v>
      </c>
      <c r="C33" s="1177"/>
      <c r="D33" s="1177"/>
      <c r="E33" s="1177"/>
      <c r="F33" s="1177"/>
      <c r="G33" s="330"/>
      <c r="H33" s="330"/>
      <c r="I33" s="330"/>
      <c r="J33" s="330"/>
      <c r="K33" s="330"/>
      <c r="L33" s="330"/>
      <c r="M33" s="330"/>
      <c r="N33" s="330"/>
      <c r="O33" s="1177" t="s">
        <v>399</v>
      </c>
      <c r="P33" s="1177"/>
      <c r="Q33" s="1177"/>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939" t="s">
        <v>352</v>
      </c>
      <c r="C39" s="939"/>
      <c r="D39" s="939"/>
      <c r="E39" s="939"/>
      <c r="F39" s="939"/>
      <c r="G39" s="939"/>
      <c r="H39" s="191"/>
      <c r="I39" s="191"/>
      <c r="J39" s="191"/>
      <c r="K39" s="191"/>
      <c r="L39" s="940" t="s">
        <v>353</v>
      </c>
      <c r="M39" s="940"/>
      <c r="N39" s="940"/>
      <c r="O39" s="940"/>
      <c r="P39" s="940"/>
      <c r="Q39" s="940"/>
      <c r="R39" s="940"/>
      <c r="S39" s="940"/>
      <c r="T39" s="940"/>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13:B13"/>
    <mergeCell ref="E7:L7"/>
    <mergeCell ref="A12:B12"/>
    <mergeCell ref="A11:B11"/>
    <mergeCell ref="A6:B10"/>
    <mergeCell ref="F1:O4"/>
    <mergeCell ref="F9:F10"/>
    <mergeCell ref="C7:C10"/>
    <mergeCell ref="A3:D3"/>
    <mergeCell ref="I9:J9"/>
    <mergeCell ref="K9:L9"/>
    <mergeCell ref="L31:T31"/>
    <mergeCell ref="E8:F8"/>
    <mergeCell ref="E6:T6"/>
    <mergeCell ref="M8:N8"/>
    <mergeCell ref="D7:D10"/>
    <mergeCell ref="A2:D2"/>
    <mergeCell ref="F5:O5"/>
    <mergeCell ref="C6:D6"/>
    <mergeCell ref="M7:T7"/>
    <mergeCell ref="A4:D4"/>
    <mergeCell ref="N9:N10"/>
    <mergeCell ref="A1:D1"/>
    <mergeCell ref="B39:G39"/>
    <mergeCell ref="L29:T29"/>
    <mergeCell ref="L30:T30"/>
    <mergeCell ref="L39:T39"/>
    <mergeCell ref="B30:G30"/>
    <mergeCell ref="B33:F33"/>
    <mergeCell ref="O33:Q33"/>
    <mergeCell ref="B31:F31"/>
    <mergeCell ref="O9:P9"/>
    <mergeCell ref="B29:G29"/>
    <mergeCell ref="S9:T9"/>
    <mergeCell ref="M9:M10"/>
    <mergeCell ref="G8:L8"/>
    <mergeCell ref="A14:B14"/>
    <mergeCell ref="O8:T8"/>
    <mergeCell ref="E9:E10"/>
    <mergeCell ref="Q9:R9"/>
    <mergeCell ref="G9:H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2018-01-05T07:24:09Z</cp:lastPrinted>
  <dcterms:created xsi:type="dcterms:W3CDTF">2004-03-07T02:36:29Z</dcterms:created>
  <dcterms:modified xsi:type="dcterms:W3CDTF">2018-01-05T07:24:11Z</dcterms:modified>
  <cp:category/>
  <cp:version/>
  <cp:contentType/>
  <cp:contentStatus/>
</cp:coreProperties>
</file>